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janet/Grant Farm Dropbox/MDrive/01_Clients/NWSA/Proposals/2020 DOT BUILD/00 FINAL FILES FOR UPLOAD/"/>
    </mc:Choice>
  </mc:AlternateContent>
  <xr:revisionPtr revIDLastSave="0" documentId="13_ncr:1_{365AD282-9985-CF4F-8DE5-78D6C9554EB8}" xr6:coauthVersionLast="45" xr6:coauthVersionMax="45" xr10:uidLastSave="{00000000-0000-0000-0000-000000000000}"/>
  <bookViews>
    <workbookView xWindow="0" yWindow="460" windowWidth="32000" windowHeight="17540" xr2:uid="{DA22CE26-E530-4BCC-8801-5872DC0471E7}"/>
  </bookViews>
  <sheets>
    <sheet name="COVER" sheetId="32" r:id="rId1"/>
    <sheet name="0_MODEL_BenefitSummary" sheetId="30" r:id="rId2"/>
    <sheet name="Results Charts" sheetId="27" r:id="rId3"/>
    <sheet name="1_MODEL_assumptions" sheetId="29" r:id="rId4"/>
    <sheet name="2_MODEL_Costs" sheetId="28" r:id="rId5"/>
    <sheet name="3_MODEL_main" sheetId="26" r:id="rId6"/>
    <sheet name="4_MODELsub_ElecReferRacks" sheetId="8" r:id="rId7"/>
    <sheet name="PARAMS" sheetId="19" r:id="rId8"/>
    <sheet name="BKGRD" sheetId="16" r:id="rId9"/>
    <sheet name="z_QAQC" sheetId="25" state="hidden" r:id="rId10"/>
  </sheets>
  <externalReferences>
    <externalReference r:id="rId11"/>
  </externalReferences>
  <definedNames>
    <definedName name="_Hlk19241157" localSheetId="0">COVER!$E$3</definedName>
    <definedName name="_Hlk19241223" localSheetId="0">COVER!$A$2</definedName>
    <definedName name="baseline">#REF!</definedName>
    <definedName name="_xlnm.Print_Area" localSheetId="0">COVER!$A$1:$I$25</definedName>
    <definedName name="railcostpermile">BKGRD!$M$79</definedName>
    <definedName name="railcostpertonmile">BKGRD!$L$78</definedName>
    <definedName name="railcostpertonmilenew" localSheetId="0">[1]BKGRD!$M$78</definedName>
    <definedName name="railcostpertonmilenew">BKGRD!$M$78</definedName>
    <definedName name="T5TEU" localSheetId="0">[1]PARAMS!#REF!</definedName>
    <definedName name="T5TEU">PARAMS!#REF!</definedName>
    <definedName name="truckcostpermile" localSheetId="0">[1]BKGRD!$L$66</definedName>
    <definedName name="truckcostpermile">BKGRD!$L$66</definedName>
    <definedName name="truckmpg" localSheetId="0">[1]PARAMS!$C$23</definedName>
    <definedName name="truckmpg">PARAMS!$C$23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26" l="1"/>
  <c r="G128" i="26"/>
  <c r="AH12" i="29"/>
  <c r="AC62" i="27" s="1"/>
  <c r="J36" i="29"/>
  <c r="I36" i="29"/>
  <c r="H36" i="29"/>
  <c r="P11" i="29" l="1"/>
  <c r="Q11" i="29" s="1"/>
  <c r="Q12" i="29" s="1"/>
  <c r="N12" i="29"/>
  <c r="O12" i="29"/>
  <c r="P12" i="29"/>
  <c r="F6" i="28" l="1"/>
  <c r="I5" i="26" l="1"/>
  <c r="F8" i="19" l="1"/>
  <c r="D7" i="19"/>
  <c r="L16" i="28"/>
  <c r="K16" i="28" s="1"/>
  <c r="L15" i="28"/>
  <c r="K15" i="28"/>
  <c r="J15" i="28"/>
  <c r="I15" i="28"/>
  <c r="C18" i="8"/>
  <c r="F32" i="29"/>
  <c r="F33" i="29" s="1"/>
  <c r="F34" i="29" s="1"/>
  <c r="J2" i="30" l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J1" i="30"/>
  <c r="K1" i="30" s="1"/>
  <c r="L1" i="30" s="1"/>
  <c r="M1" i="30" s="1"/>
  <c r="N1" i="30" s="1"/>
  <c r="O1" i="30" s="1"/>
  <c r="P1" i="30" s="1"/>
  <c r="Q1" i="30" s="1"/>
  <c r="R1" i="30" s="1"/>
  <c r="S1" i="30" s="1"/>
  <c r="T1" i="30" s="1"/>
  <c r="U1" i="30" s="1"/>
  <c r="V1" i="30" s="1"/>
  <c r="W1" i="30" s="1"/>
  <c r="X1" i="30" s="1"/>
  <c r="Y1" i="30" s="1"/>
  <c r="Z1" i="30" s="1"/>
  <c r="AA1" i="30" s="1"/>
  <c r="AB1" i="30" s="1"/>
  <c r="AC1" i="30" s="1"/>
  <c r="AD1" i="30" s="1"/>
  <c r="AE1" i="30" s="1"/>
  <c r="AF1" i="30" s="1"/>
  <c r="AG1" i="30" s="1"/>
  <c r="AH1" i="30" s="1"/>
  <c r="I8" i="29"/>
  <c r="H9" i="29"/>
  <c r="H12" i="29" s="1"/>
  <c r="J12" i="29"/>
  <c r="K12" i="29"/>
  <c r="L12" i="29"/>
  <c r="M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F30" i="29"/>
  <c r="F29" i="29" s="1"/>
  <c r="F28" i="29" s="1"/>
  <c r="F27" i="29" s="1"/>
  <c r="F26" i="29" s="1"/>
  <c r="F25" i="29" s="1"/>
  <c r="F24" i="29" s="1"/>
  <c r="F23" i="29" s="1"/>
  <c r="F22" i="29" s="1"/>
  <c r="F21" i="29" s="1"/>
  <c r="F20" i="29" s="1"/>
  <c r="F19" i="29" s="1"/>
  <c r="F18" i="29" s="1"/>
  <c r="F17" i="29" s="1"/>
  <c r="F16" i="29" s="1"/>
  <c r="F15" i="29" s="1"/>
  <c r="J2" i="29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J1" i="29"/>
  <c r="K1" i="29" s="1"/>
  <c r="L1" i="29" s="1"/>
  <c r="M1" i="29" s="1"/>
  <c r="N1" i="29" s="1"/>
  <c r="O1" i="29" s="1"/>
  <c r="P1" i="29" s="1"/>
  <c r="Q1" i="29" s="1"/>
  <c r="R1" i="29" s="1"/>
  <c r="S1" i="29" s="1"/>
  <c r="T1" i="29" s="1"/>
  <c r="U1" i="29" s="1"/>
  <c r="V1" i="29" s="1"/>
  <c r="W1" i="29" s="1"/>
  <c r="X1" i="29" s="1"/>
  <c r="Y1" i="29" s="1"/>
  <c r="Z1" i="29" s="1"/>
  <c r="AA1" i="29" s="1"/>
  <c r="AB1" i="29" s="1"/>
  <c r="AC1" i="29" s="1"/>
  <c r="AD1" i="29" s="1"/>
  <c r="AE1" i="29" s="1"/>
  <c r="AF1" i="29" s="1"/>
  <c r="AG1" i="29" s="1"/>
  <c r="AH1" i="29" s="1"/>
  <c r="F3" i="28"/>
  <c r="F9" i="28"/>
  <c r="H10" i="28"/>
  <c r="I10" i="28"/>
  <c r="I11" i="28" s="1"/>
  <c r="J10" i="28"/>
  <c r="J11" i="28" s="1"/>
  <c r="K10" i="28"/>
  <c r="K11" i="28"/>
  <c r="I14" i="28"/>
  <c r="K14" i="28"/>
  <c r="L14" i="28" s="1"/>
  <c r="M15" i="28"/>
  <c r="N15" i="28" s="1"/>
  <c r="O15" i="28" s="1"/>
  <c r="O26" i="28" s="1"/>
  <c r="M16" i="28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X16" i="28" s="1"/>
  <c r="Y16" i="28" s="1"/>
  <c r="Z16" i="28" s="1"/>
  <c r="AA16" i="28" s="1"/>
  <c r="AB16" i="28" s="1"/>
  <c r="AC16" i="28" s="1"/>
  <c r="AD16" i="28" s="1"/>
  <c r="AE16" i="28" s="1"/>
  <c r="AF16" i="28" s="1"/>
  <c r="AG16" i="28" s="1"/>
  <c r="M17" i="28"/>
  <c r="I21" i="28"/>
  <c r="J21" i="28"/>
  <c r="K21" i="28"/>
  <c r="L21" i="28"/>
  <c r="M21" i="28"/>
  <c r="N21" i="28"/>
  <c r="S21" i="28"/>
  <c r="T21" i="28" s="1"/>
  <c r="U21" i="28" s="1"/>
  <c r="V21" i="28" s="1"/>
  <c r="W21" i="28" s="1"/>
  <c r="X21" i="28" s="1"/>
  <c r="Y21" i="28" s="1"/>
  <c r="Z21" i="28" s="1"/>
  <c r="AA21" i="28" s="1"/>
  <c r="AB21" i="28" s="1"/>
  <c r="AC21" i="28" s="1"/>
  <c r="AD21" i="28" s="1"/>
  <c r="AE21" i="28" s="1"/>
  <c r="AF21" i="28" s="1"/>
  <c r="AG21" i="28" s="1"/>
  <c r="I26" i="28"/>
  <c r="J26" i="28" s="1"/>
  <c r="K26" i="28" s="1"/>
  <c r="M26" i="28"/>
  <c r="N26" i="28"/>
  <c r="I2" i="28"/>
  <c r="J2" i="28" s="1"/>
  <c r="K2" i="28" s="1"/>
  <c r="L2" i="28" s="1"/>
  <c r="M2" i="28" s="1"/>
  <c r="N2" i="28" s="1"/>
  <c r="O2" i="28" s="1"/>
  <c r="P2" i="28" s="1"/>
  <c r="Q2" i="28" s="1"/>
  <c r="R2" i="28" s="1"/>
  <c r="S2" i="28" s="1"/>
  <c r="T2" i="28" s="1"/>
  <c r="U2" i="28" s="1"/>
  <c r="V2" i="28" s="1"/>
  <c r="W2" i="28" s="1"/>
  <c r="X2" i="28" s="1"/>
  <c r="Y2" i="28" s="1"/>
  <c r="Z2" i="28" s="1"/>
  <c r="AA2" i="28" s="1"/>
  <c r="AB2" i="28" s="1"/>
  <c r="AC2" i="28" s="1"/>
  <c r="AD2" i="28" s="1"/>
  <c r="AE2" i="28" s="1"/>
  <c r="AF2" i="28" s="1"/>
  <c r="AG2" i="28" s="1"/>
  <c r="I1" i="28"/>
  <c r="J1" i="28" s="1"/>
  <c r="K1" i="28" s="1"/>
  <c r="L1" i="28" s="1"/>
  <c r="M1" i="28" s="1"/>
  <c r="N1" i="28" s="1"/>
  <c r="O1" i="28" s="1"/>
  <c r="P1" i="28" s="1"/>
  <c r="Q1" i="28" s="1"/>
  <c r="R1" i="28" s="1"/>
  <c r="S1" i="28" s="1"/>
  <c r="T1" i="28" s="1"/>
  <c r="U1" i="28" s="1"/>
  <c r="V1" i="28" s="1"/>
  <c r="W1" i="28" s="1"/>
  <c r="X1" i="28" s="1"/>
  <c r="Y1" i="28" s="1"/>
  <c r="Z1" i="28" s="1"/>
  <c r="AA1" i="28" s="1"/>
  <c r="AB1" i="28" s="1"/>
  <c r="AC1" i="28" s="1"/>
  <c r="AD1" i="28" s="1"/>
  <c r="AE1" i="28" s="1"/>
  <c r="AF1" i="28" s="1"/>
  <c r="AG1" i="28" s="1"/>
  <c r="F10" i="28" l="1"/>
  <c r="J8" i="29"/>
  <c r="K8" i="29" s="1"/>
  <c r="K9" i="29" s="1"/>
  <c r="H27" i="28"/>
  <c r="K22" i="28"/>
  <c r="F4" i="28"/>
  <c r="I9" i="29"/>
  <c r="R11" i="29"/>
  <c r="J9" i="29"/>
  <c r="J22" i="28"/>
  <c r="M14" i="28"/>
  <c r="H11" i="28"/>
  <c r="I22" i="28"/>
  <c r="F20" i="28"/>
  <c r="F16" i="28"/>
  <c r="L26" i="28"/>
  <c r="P15" i="28"/>
  <c r="N17" i="28"/>
  <c r="O17" i="28" s="1"/>
  <c r="P17" i="28" s="1"/>
  <c r="Q17" i="28" s="1"/>
  <c r="R17" i="28" s="1"/>
  <c r="S17" i="28" s="1"/>
  <c r="T17" i="28" s="1"/>
  <c r="U17" i="28" s="1"/>
  <c r="V17" i="28" s="1"/>
  <c r="W17" i="28" s="1"/>
  <c r="X17" i="28" s="1"/>
  <c r="Y17" i="28" s="1"/>
  <c r="Z17" i="28" s="1"/>
  <c r="AA17" i="28" s="1"/>
  <c r="AB17" i="28" s="1"/>
  <c r="AC17" i="28" s="1"/>
  <c r="AD17" i="28" s="1"/>
  <c r="AE17" i="28" s="1"/>
  <c r="AF17" i="28" s="1"/>
  <c r="AG17" i="28" s="1"/>
  <c r="E60" i="27"/>
  <c r="F60" i="27" s="1"/>
  <c r="G60" i="27" s="1"/>
  <c r="H60" i="27" s="1"/>
  <c r="I60" i="27" s="1"/>
  <c r="J60" i="27" s="1"/>
  <c r="K60" i="27" s="1"/>
  <c r="L60" i="27" s="1"/>
  <c r="M60" i="27" s="1"/>
  <c r="N60" i="27" s="1"/>
  <c r="O60" i="27" s="1"/>
  <c r="P60" i="27" s="1"/>
  <c r="Q60" i="27" s="1"/>
  <c r="R60" i="27" s="1"/>
  <c r="S60" i="27" s="1"/>
  <c r="T60" i="27" s="1"/>
  <c r="U60" i="27" s="1"/>
  <c r="V60" i="27" s="1"/>
  <c r="W60" i="27" s="1"/>
  <c r="X60" i="27" s="1"/>
  <c r="Y60" i="27" s="1"/>
  <c r="Z60" i="27" s="1"/>
  <c r="AA60" i="27" s="1"/>
  <c r="AB60" i="27" s="1"/>
  <c r="AC60" i="27" s="1"/>
  <c r="C57" i="19"/>
  <c r="E27" i="27"/>
  <c r="D27" i="27"/>
  <c r="I12" i="29" l="1"/>
  <c r="I13" i="26"/>
  <c r="L8" i="29"/>
  <c r="L9" i="29" s="1"/>
  <c r="R12" i="29"/>
  <c r="S11" i="29"/>
  <c r="S12" i="29" s="1"/>
  <c r="F18" i="28"/>
  <c r="E48" i="27" s="1"/>
  <c r="H22" i="28"/>
  <c r="F11" i="28"/>
  <c r="F17" i="28"/>
  <c r="L22" i="28"/>
  <c r="H29" i="28"/>
  <c r="H28" i="28"/>
  <c r="Q15" i="28"/>
  <c r="P26" i="28"/>
  <c r="N14" i="28"/>
  <c r="M22" i="28"/>
  <c r="B37" i="8"/>
  <c r="B42" i="8" s="1"/>
  <c r="B36" i="8"/>
  <c r="B41" i="8" s="1"/>
  <c r="B35" i="8"/>
  <c r="B40" i="8" s="1"/>
  <c r="B34" i="8"/>
  <c r="B39" i="8" s="1"/>
  <c r="C21" i="8"/>
  <c r="C22" i="8" s="1"/>
  <c r="C60" i="19"/>
  <c r="E123" i="26"/>
  <c r="E122" i="26"/>
  <c r="E121" i="26"/>
  <c r="E120" i="26"/>
  <c r="E119" i="26"/>
  <c r="E117" i="26"/>
  <c r="D117" i="26"/>
  <c r="C59" i="19"/>
  <c r="C45" i="19"/>
  <c r="C50" i="19" s="1"/>
  <c r="C44" i="19"/>
  <c r="C49" i="19" s="1"/>
  <c r="C43" i="19"/>
  <c r="C48" i="19" s="1"/>
  <c r="B46" i="19"/>
  <c r="B51" i="19" s="1"/>
  <c r="B56" i="19" s="1"/>
  <c r="B45" i="19"/>
  <c r="B50" i="19" s="1"/>
  <c r="B55" i="19" s="1"/>
  <c r="B44" i="19"/>
  <c r="B49" i="19" s="1"/>
  <c r="B54" i="19" s="1"/>
  <c r="B43" i="19"/>
  <c r="B48" i="19" s="1"/>
  <c r="B53" i="19" s="1"/>
  <c r="M81" i="16"/>
  <c r="D105" i="26"/>
  <c r="D112" i="26" s="1"/>
  <c r="B34" i="19"/>
  <c r="B33" i="19"/>
  <c r="B32" i="19"/>
  <c r="B31" i="19"/>
  <c r="C64" i="19"/>
  <c r="D104" i="26"/>
  <c r="D110" i="26" s="1"/>
  <c r="D103" i="26"/>
  <c r="D102" i="26"/>
  <c r="D108" i="26" s="1"/>
  <c r="D101" i="26"/>
  <c r="D107" i="26" s="1"/>
  <c r="C27" i="19"/>
  <c r="D16" i="19"/>
  <c r="G12" i="28"/>
  <c r="H16" i="30" s="1"/>
  <c r="H12" i="19"/>
  <c r="I12" i="19" s="1"/>
  <c r="H8" i="19"/>
  <c r="N62" i="16"/>
  <c r="I44" i="26"/>
  <c r="J1" i="26"/>
  <c r="K36" i="29" s="1"/>
  <c r="I10" i="26"/>
  <c r="I9" i="26"/>
  <c r="I8" i="26"/>
  <c r="I7" i="26"/>
  <c r="I6" i="26"/>
  <c r="J10" i="26"/>
  <c r="K10" i="26" s="1"/>
  <c r="L10" i="26" s="1"/>
  <c r="M10" i="26" s="1"/>
  <c r="N10" i="26" s="1"/>
  <c r="O10" i="26" s="1"/>
  <c r="P10" i="26" s="1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E10" i="26" s="1"/>
  <c r="AF10" i="26" s="1"/>
  <c r="AG10" i="26" s="1"/>
  <c r="AH10" i="26" s="1"/>
  <c r="J9" i="26"/>
  <c r="K9" i="26" s="1"/>
  <c r="L9" i="26" s="1"/>
  <c r="M9" i="26" s="1"/>
  <c r="N9" i="26" s="1"/>
  <c r="O9" i="26" s="1"/>
  <c r="P9" i="26" s="1"/>
  <c r="Q9" i="26" s="1"/>
  <c r="R9" i="26" s="1"/>
  <c r="S9" i="26" s="1"/>
  <c r="T9" i="26" s="1"/>
  <c r="U9" i="26" s="1"/>
  <c r="V9" i="26" s="1"/>
  <c r="W9" i="26" s="1"/>
  <c r="X9" i="26" s="1"/>
  <c r="Y9" i="26" s="1"/>
  <c r="Z9" i="26" s="1"/>
  <c r="AA9" i="26" s="1"/>
  <c r="AB9" i="26" s="1"/>
  <c r="AC9" i="26" s="1"/>
  <c r="AD9" i="26" s="1"/>
  <c r="AE9" i="26" s="1"/>
  <c r="AF9" i="26" s="1"/>
  <c r="AG9" i="26" s="1"/>
  <c r="AH9" i="26" s="1"/>
  <c r="J8" i="26"/>
  <c r="K8" i="26" s="1"/>
  <c r="L8" i="26" s="1"/>
  <c r="M8" i="26" s="1"/>
  <c r="N8" i="26" s="1"/>
  <c r="O8" i="26" s="1"/>
  <c r="P8" i="26" s="1"/>
  <c r="Q8" i="26" s="1"/>
  <c r="R8" i="26" s="1"/>
  <c r="S8" i="26" s="1"/>
  <c r="T8" i="26" s="1"/>
  <c r="U8" i="26" s="1"/>
  <c r="V8" i="26" s="1"/>
  <c r="W8" i="26" s="1"/>
  <c r="X8" i="26" s="1"/>
  <c r="Y8" i="26" s="1"/>
  <c r="Z8" i="26" s="1"/>
  <c r="AA8" i="26" s="1"/>
  <c r="AB8" i="26" s="1"/>
  <c r="AC8" i="26" s="1"/>
  <c r="AD8" i="26" s="1"/>
  <c r="AE8" i="26" s="1"/>
  <c r="AF8" i="26" s="1"/>
  <c r="AG8" i="26" s="1"/>
  <c r="AH8" i="26" s="1"/>
  <c r="J7" i="26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J6" i="26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J5" i="26"/>
  <c r="K5" i="26" s="1"/>
  <c r="L5" i="26" s="1"/>
  <c r="M5" i="26" s="1"/>
  <c r="N5" i="26" s="1"/>
  <c r="O5" i="26" s="1"/>
  <c r="P5" i="26" s="1"/>
  <c r="Q5" i="26" s="1"/>
  <c r="R5" i="26" s="1"/>
  <c r="S5" i="26" s="1"/>
  <c r="T5" i="26" s="1"/>
  <c r="U5" i="26" s="1"/>
  <c r="V5" i="26" s="1"/>
  <c r="W5" i="26" s="1"/>
  <c r="X5" i="26" s="1"/>
  <c r="Y5" i="26" s="1"/>
  <c r="Z5" i="26" s="1"/>
  <c r="AA5" i="26" s="1"/>
  <c r="AB5" i="26" s="1"/>
  <c r="AC5" i="26" s="1"/>
  <c r="AD5" i="26" s="1"/>
  <c r="AE5" i="26" s="1"/>
  <c r="AF5" i="26" s="1"/>
  <c r="AG5" i="26" s="1"/>
  <c r="AH5" i="26" s="1"/>
  <c r="AA62" i="27"/>
  <c r="Z62" i="27"/>
  <c r="Y62" i="27"/>
  <c r="X62" i="27"/>
  <c r="W62" i="27"/>
  <c r="V62" i="27"/>
  <c r="U62" i="27"/>
  <c r="T62" i="27"/>
  <c r="S62" i="27"/>
  <c r="R62" i="27"/>
  <c r="Q62" i="27"/>
  <c r="P62" i="27"/>
  <c r="O62" i="27"/>
  <c r="O21" i="28"/>
  <c r="J62" i="27"/>
  <c r="I62" i="27"/>
  <c r="H62" i="27"/>
  <c r="G62" i="27"/>
  <c r="F62" i="27"/>
  <c r="E62" i="27"/>
  <c r="AH24" i="26" l="1"/>
  <c r="AH25" i="26"/>
  <c r="AH54" i="26" s="1"/>
  <c r="I4" i="30"/>
  <c r="AH21" i="26"/>
  <c r="AH22" i="26"/>
  <c r="AH37" i="26" s="1"/>
  <c r="AH26" i="26"/>
  <c r="AH23" i="26"/>
  <c r="M8" i="29"/>
  <c r="H30" i="28"/>
  <c r="Q26" i="28"/>
  <c r="R15" i="28"/>
  <c r="O14" i="28"/>
  <c r="N22" i="28"/>
  <c r="H12" i="28"/>
  <c r="I16" i="30" s="1"/>
  <c r="H23" i="28"/>
  <c r="C54" i="19"/>
  <c r="C55" i="19"/>
  <c r="C53" i="19"/>
  <c r="AB62" i="27"/>
  <c r="P21" i="28"/>
  <c r="W23" i="26"/>
  <c r="I144" i="26"/>
  <c r="E46" i="27"/>
  <c r="D119" i="26"/>
  <c r="D120" i="26"/>
  <c r="D122" i="26"/>
  <c r="D109" i="26"/>
  <c r="D121" i="26"/>
  <c r="D123" i="26"/>
  <c r="D129" i="26" s="1"/>
  <c r="AG21" i="26"/>
  <c r="AG36" i="26" s="1"/>
  <c r="K24" i="26"/>
  <c r="M25" i="26"/>
  <c r="M54" i="26" s="1"/>
  <c r="T25" i="26"/>
  <c r="T54" i="26" s="1"/>
  <c r="X25" i="26"/>
  <c r="X54" i="26" s="1"/>
  <c r="AB25" i="26"/>
  <c r="AB54" i="26" s="1"/>
  <c r="AF25" i="26"/>
  <c r="AF54" i="26" s="1"/>
  <c r="Y21" i="26"/>
  <c r="Y36" i="26" s="1"/>
  <c r="N25" i="26"/>
  <c r="N54" i="26" s="1"/>
  <c r="AC25" i="26"/>
  <c r="AC54" i="26" s="1"/>
  <c r="AG25" i="26"/>
  <c r="AG54" i="26" s="1"/>
  <c r="M24" i="26"/>
  <c r="Z26" i="26"/>
  <c r="AF24" i="26"/>
  <c r="D17" i="19"/>
  <c r="I8" i="19"/>
  <c r="V22" i="26"/>
  <c r="V37" i="26" s="1"/>
  <c r="J26" i="26"/>
  <c r="N26" i="26"/>
  <c r="U26" i="26"/>
  <c r="Y26" i="26"/>
  <c r="AC26" i="26"/>
  <c r="AG26" i="26"/>
  <c r="K21" i="26"/>
  <c r="K36" i="26" s="1"/>
  <c r="Z22" i="26"/>
  <c r="Z37" i="26" s="1"/>
  <c r="X24" i="26"/>
  <c r="U25" i="26"/>
  <c r="U54" i="26" s="1"/>
  <c r="J23" i="26"/>
  <c r="T24" i="26"/>
  <c r="O23" i="26"/>
  <c r="V23" i="26"/>
  <c r="Z23" i="26"/>
  <c r="AD23" i="26"/>
  <c r="K25" i="26"/>
  <c r="K54" i="26" s="1"/>
  <c r="AB24" i="26"/>
  <c r="Y25" i="26"/>
  <c r="Y54" i="26" s="1"/>
  <c r="AD26" i="26"/>
  <c r="AE24" i="26"/>
  <c r="AE25" i="26"/>
  <c r="AE54" i="26" s="1"/>
  <c r="AE21" i="26"/>
  <c r="AE26" i="26"/>
  <c r="AE22" i="26"/>
  <c r="AE37" i="26" s="1"/>
  <c r="O26" i="26"/>
  <c r="AC21" i="26"/>
  <c r="L24" i="26"/>
  <c r="L25" i="26"/>
  <c r="L54" i="26" s="1"/>
  <c r="L21" i="26"/>
  <c r="L26" i="26"/>
  <c r="L22" i="26"/>
  <c r="L37" i="26" s="1"/>
  <c r="W24" i="26"/>
  <c r="W25" i="26"/>
  <c r="W54" i="26" s="1"/>
  <c r="W21" i="26"/>
  <c r="W26" i="26"/>
  <c r="W22" i="26"/>
  <c r="W37" i="26" s="1"/>
  <c r="AA24" i="26"/>
  <c r="AA25" i="26"/>
  <c r="AA54" i="26" s="1"/>
  <c r="AA21" i="26"/>
  <c r="AA26" i="26"/>
  <c r="AA22" i="26"/>
  <c r="AA37" i="26" s="1"/>
  <c r="N21" i="26"/>
  <c r="AD22" i="26"/>
  <c r="AD37" i="26" s="1"/>
  <c r="AA23" i="26"/>
  <c r="U21" i="26"/>
  <c r="O22" i="26"/>
  <c r="O37" i="26" s="1"/>
  <c r="L23" i="26"/>
  <c r="AE23" i="26"/>
  <c r="V26" i="26"/>
  <c r="J24" i="26"/>
  <c r="K22" i="26"/>
  <c r="K37" i="26" s="1"/>
  <c r="K26" i="26"/>
  <c r="O21" i="26"/>
  <c r="V21" i="26"/>
  <c r="Z21" i="26"/>
  <c r="AD21" i="26"/>
  <c r="M23" i="26"/>
  <c r="T23" i="26"/>
  <c r="X23" i="26"/>
  <c r="AB23" i="26"/>
  <c r="AF23" i="26"/>
  <c r="N24" i="26"/>
  <c r="U24" i="26"/>
  <c r="Y24" i="26"/>
  <c r="AC24" i="26"/>
  <c r="AG24" i="26"/>
  <c r="O25" i="26"/>
  <c r="O54" i="26" s="1"/>
  <c r="V25" i="26"/>
  <c r="V54" i="26" s="1"/>
  <c r="Z25" i="26"/>
  <c r="Z54" i="26" s="1"/>
  <c r="AD25" i="26"/>
  <c r="AD54" i="26" s="1"/>
  <c r="J21" i="26"/>
  <c r="J25" i="26"/>
  <c r="J54" i="26" s="1"/>
  <c r="K23" i="26"/>
  <c r="M22" i="26"/>
  <c r="M37" i="26" s="1"/>
  <c r="T22" i="26"/>
  <c r="T37" i="26" s="1"/>
  <c r="X22" i="26"/>
  <c r="X37" i="26" s="1"/>
  <c r="AB22" i="26"/>
  <c r="AB37" i="26" s="1"/>
  <c r="AF22" i="26"/>
  <c r="AF37" i="26" s="1"/>
  <c r="N23" i="26"/>
  <c r="U23" i="26"/>
  <c r="Y23" i="26"/>
  <c r="AC23" i="26"/>
  <c r="AG23" i="26"/>
  <c r="O24" i="26"/>
  <c r="V24" i="26"/>
  <c r="Z24" i="26"/>
  <c r="AD24" i="26"/>
  <c r="M26" i="26"/>
  <c r="T26" i="26"/>
  <c r="X26" i="26"/>
  <c r="AB26" i="26"/>
  <c r="AF26" i="26"/>
  <c r="J22" i="26"/>
  <c r="J37" i="26" s="1"/>
  <c r="M21" i="26"/>
  <c r="T21" i="26"/>
  <c r="X21" i="26"/>
  <c r="AB21" i="26"/>
  <c r="AF21" i="26"/>
  <c r="N22" i="26"/>
  <c r="N37" i="26" s="1"/>
  <c r="U22" i="26"/>
  <c r="U37" i="26" s="1"/>
  <c r="Y22" i="26"/>
  <c r="Y37" i="26" s="1"/>
  <c r="AC22" i="26"/>
  <c r="AC37" i="26" s="1"/>
  <c r="AG22" i="26"/>
  <c r="AG37" i="26" s="1"/>
  <c r="K1" i="26"/>
  <c r="L36" i="29" s="1"/>
  <c r="K62" i="27"/>
  <c r="Q21" i="28"/>
  <c r="J2" i="26"/>
  <c r="K2" i="26" s="1"/>
  <c r="L2" i="26" s="1"/>
  <c r="M2" i="26" s="1"/>
  <c r="N2" i="26" s="1"/>
  <c r="O2" i="26" s="1"/>
  <c r="P2" i="26" s="1"/>
  <c r="Q2" i="26" s="1"/>
  <c r="R2" i="26" s="1"/>
  <c r="S2" i="26" s="1"/>
  <c r="T2" i="26" s="1"/>
  <c r="U2" i="26" s="1"/>
  <c r="V2" i="26" s="1"/>
  <c r="W2" i="26" s="1"/>
  <c r="X2" i="26" s="1"/>
  <c r="Y2" i="26" s="1"/>
  <c r="Z2" i="26" s="1"/>
  <c r="AA2" i="26" s="1"/>
  <c r="AB2" i="26" s="1"/>
  <c r="AC2" i="26" s="1"/>
  <c r="AD2" i="26" s="1"/>
  <c r="AE2" i="26" s="1"/>
  <c r="AF2" i="26" s="1"/>
  <c r="AG2" i="26" s="1"/>
  <c r="AH2" i="26" s="1"/>
  <c r="AH36" i="26" l="1"/>
  <c r="AH39" i="26" s="1"/>
  <c r="I11" i="30"/>
  <c r="AH53" i="26"/>
  <c r="AH56" i="26" s="1"/>
  <c r="N8" i="29"/>
  <c r="N9" i="29" s="1"/>
  <c r="M9" i="29"/>
  <c r="P14" i="28"/>
  <c r="O22" i="28"/>
  <c r="H31" i="28"/>
  <c r="H33" i="28" s="1"/>
  <c r="I12" i="30" s="1"/>
  <c r="R26" i="28"/>
  <c r="S15" i="28"/>
  <c r="J144" i="26"/>
  <c r="J11" i="30" s="1"/>
  <c r="I12" i="28"/>
  <c r="J16" i="30" s="1"/>
  <c r="I23" i="28"/>
  <c r="E47" i="27"/>
  <c r="L62" i="27"/>
  <c r="D125" i="26"/>
  <c r="D134" i="26"/>
  <c r="D126" i="26"/>
  <c r="D135" i="26"/>
  <c r="D127" i="26"/>
  <c r="D136" i="26"/>
  <c r="D128" i="26"/>
  <c r="D137" i="26"/>
  <c r="O53" i="26"/>
  <c r="O56" i="26" s="1"/>
  <c r="W53" i="26"/>
  <c r="W56" i="26" s="1"/>
  <c r="AE53" i="26"/>
  <c r="AE56" i="26" s="1"/>
  <c r="AD53" i="26"/>
  <c r="AD56" i="26" s="1"/>
  <c r="U53" i="26"/>
  <c r="U56" i="26" s="1"/>
  <c r="L53" i="26"/>
  <c r="L56" i="26" s="1"/>
  <c r="X53" i="26"/>
  <c r="X56" i="26" s="1"/>
  <c r="AF53" i="26"/>
  <c r="AF56" i="26" s="1"/>
  <c r="Z53" i="26"/>
  <c r="Z56" i="26" s="1"/>
  <c r="AG53" i="26"/>
  <c r="AG56" i="26" s="1"/>
  <c r="N53" i="26"/>
  <c r="N56" i="26" s="1"/>
  <c r="J53" i="26"/>
  <c r="J56" i="26" s="1"/>
  <c r="T53" i="26"/>
  <c r="T56" i="26" s="1"/>
  <c r="K53" i="26"/>
  <c r="K56" i="26" s="1"/>
  <c r="Y53" i="26"/>
  <c r="Y56" i="26" s="1"/>
  <c r="AB53" i="26"/>
  <c r="AB56" i="26" s="1"/>
  <c r="V53" i="26"/>
  <c r="V56" i="26" s="1"/>
  <c r="AC53" i="26"/>
  <c r="AC56" i="26" s="1"/>
  <c r="AA53" i="26"/>
  <c r="AA56" i="26" s="1"/>
  <c r="M53" i="26"/>
  <c r="M56" i="26" s="1"/>
  <c r="K39" i="26"/>
  <c r="Y39" i="26"/>
  <c r="AF36" i="26"/>
  <c r="AF39" i="26" s="1"/>
  <c r="M36" i="26"/>
  <c r="M39" i="26" s="1"/>
  <c r="AB36" i="26"/>
  <c r="AB39" i="26" s="1"/>
  <c r="O36" i="26"/>
  <c r="O39" i="26" s="1"/>
  <c r="N36" i="26"/>
  <c r="N39" i="26" s="1"/>
  <c r="W36" i="26"/>
  <c r="W39" i="26" s="1"/>
  <c r="P24" i="26"/>
  <c r="P25" i="26"/>
  <c r="P54" i="26" s="1"/>
  <c r="P21" i="26"/>
  <c r="P26" i="26"/>
  <c r="P22" i="26"/>
  <c r="P37" i="26" s="1"/>
  <c r="P23" i="26"/>
  <c r="V36" i="26"/>
  <c r="V39" i="26" s="1"/>
  <c r="AA36" i="26"/>
  <c r="AA39" i="26" s="1"/>
  <c r="X36" i="26"/>
  <c r="X39" i="26" s="1"/>
  <c r="AD36" i="26"/>
  <c r="AD39" i="26" s="1"/>
  <c r="U36" i="26"/>
  <c r="U39" i="26" s="1"/>
  <c r="L36" i="26"/>
  <c r="L39" i="26" s="1"/>
  <c r="AC36" i="26"/>
  <c r="AC39" i="26" s="1"/>
  <c r="T36" i="26"/>
  <c r="T39" i="26" s="1"/>
  <c r="J36" i="26"/>
  <c r="J39" i="26" s="1"/>
  <c r="Z36" i="26"/>
  <c r="Z39" i="26" s="1"/>
  <c r="AE36" i="26"/>
  <c r="AE39" i="26" s="1"/>
  <c r="AG39" i="26"/>
  <c r="L1" i="26"/>
  <c r="M36" i="29" s="1"/>
  <c r="D61" i="27"/>
  <c r="R21" i="28"/>
  <c r="F21" i="28" s="1"/>
  <c r="E50" i="27" s="1"/>
  <c r="M62" i="27"/>
  <c r="F19" i="28" l="1"/>
  <c r="E49" i="27" s="1"/>
  <c r="O8" i="29"/>
  <c r="O9" i="29" s="1"/>
  <c r="Q14" i="28"/>
  <c r="P22" i="28"/>
  <c r="I28" i="28"/>
  <c r="I27" i="28"/>
  <c r="I29" i="28"/>
  <c r="J23" i="28"/>
  <c r="J12" i="28"/>
  <c r="K16" i="30" s="1"/>
  <c r="S26" i="28"/>
  <c r="T15" i="28"/>
  <c r="Q22" i="26"/>
  <c r="Q37" i="26" s="1"/>
  <c r="Q23" i="26"/>
  <c r="Q24" i="26"/>
  <c r="Q53" i="26" s="1"/>
  <c r="Q26" i="26"/>
  <c r="Q21" i="26"/>
  <c r="Q36" i="26" s="1"/>
  <c r="Q25" i="26"/>
  <c r="Q54" i="26" s="1"/>
  <c r="P53" i="26"/>
  <c r="P56" i="26" s="1"/>
  <c r="P36" i="26"/>
  <c r="P39" i="26" s="1"/>
  <c r="D62" i="27"/>
  <c r="I16" i="26"/>
  <c r="I47" i="26" s="1"/>
  <c r="I30" i="26"/>
  <c r="I15" i="26"/>
  <c r="I18" i="26"/>
  <c r="I14" i="26"/>
  <c r="I31" i="26" s="1"/>
  <c r="I17" i="26"/>
  <c r="I48" i="26" s="1"/>
  <c r="M1" i="26"/>
  <c r="N36" i="29" s="1"/>
  <c r="R25" i="26"/>
  <c r="R54" i="26" s="1"/>
  <c r="R23" i="26"/>
  <c r="R21" i="26"/>
  <c r="R26" i="26"/>
  <c r="R24" i="26"/>
  <c r="R22" i="26"/>
  <c r="R37" i="26" s="1"/>
  <c r="E61" i="27"/>
  <c r="I33" i="26" l="1"/>
  <c r="Q39" i="26"/>
  <c r="P8" i="29"/>
  <c r="P9" i="29" s="1"/>
  <c r="K12" i="28"/>
  <c r="L16" i="30" s="1"/>
  <c r="K23" i="28"/>
  <c r="U15" i="28"/>
  <c r="T26" i="28"/>
  <c r="J28" i="28"/>
  <c r="J27" i="28"/>
  <c r="J29" i="28"/>
  <c r="Q56" i="26"/>
  <c r="I30" i="28"/>
  <c r="R14" i="28"/>
  <c r="Q22" i="28"/>
  <c r="S24" i="26"/>
  <c r="S53" i="26" s="1"/>
  <c r="N62" i="27"/>
  <c r="S26" i="26"/>
  <c r="S23" i="26"/>
  <c r="S21" i="26"/>
  <c r="S36" i="26" s="1"/>
  <c r="S22" i="26"/>
  <c r="S37" i="26" s="1"/>
  <c r="S25" i="26"/>
  <c r="S54" i="26" s="1"/>
  <c r="R53" i="26"/>
  <c r="R56" i="26" s="1"/>
  <c r="R36" i="26"/>
  <c r="R39" i="26" s="1"/>
  <c r="J18" i="26"/>
  <c r="J14" i="26"/>
  <c r="J31" i="26" s="1"/>
  <c r="J17" i="26"/>
  <c r="J48" i="26" s="1"/>
  <c r="J13" i="26"/>
  <c r="J16" i="26"/>
  <c r="J15" i="26"/>
  <c r="I50" i="26"/>
  <c r="I23" i="26"/>
  <c r="I26" i="26"/>
  <c r="I22" i="26"/>
  <c r="I37" i="26" s="1"/>
  <c r="I25" i="26"/>
  <c r="I54" i="26" s="1"/>
  <c r="I21" i="26"/>
  <c r="I24" i="26"/>
  <c r="N1" i="26"/>
  <c r="O36" i="29" s="1"/>
  <c r="F61" i="27"/>
  <c r="Q8" i="29" l="1"/>
  <c r="Q9" i="29" s="1"/>
  <c r="I31" i="28"/>
  <c r="L12" i="28"/>
  <c r="M16" i="30" s="1"/>
  <c r="L23" i="28"/>
  <c r="S14" i="28"/>
  <c r="R22" i="28"/>
  <c r="K27" i="28"/>
  <c r="K29" i="28"/>
  <c r="K28" i="28"/>
  <c r="J30" i="28"/>
  <c r="J31" i="28" s="1"/>
  <c r="J33" i="28" s="1"/>
  <c r="K12" i="30" s="1"/>
  <c r="U26" i="28"/>
  <c r="V15" i="28"/>
  <c r="S56" i="26"/>
  <c r="S39" i="26"/>
  <c r="I53" i="26"/>
  <c r="I56" i="26" s="1"/>
  <c r="I59" i="26" s="1"/>
  <c r="I93" i="26"/>
  <c r="J47" i="26"/>
  <c r="J50" i="26" s="1"/>
  <c r="J59" i="26" s="1"/>
  <c r="J60" i="26" s="1"/>
  <c r="J61" i="26" s="1"/>
  <c r="J93" i="26"/>
  <c r="I36" i="26"/>
  <c r="I39" i="26" s="1"/>
  <c r="I42" i="26" s="1"/>
  <c r="I99" i="26"/>
  <c r="I66" i="26"/>
  <c r="I83" i="26" s="1"/>
  <c r="I84" i="26" s="1"/>
  <c r="I68" i="26"/>
  <c r="I86" i="26" s="1"/>
  <c r="I87" i="26" s="1"/>
  <c r="J30" i="26"/>
  <c r="J33" i="26" s="1"/>
  <c r="J42" i="26" s="1"/>
  <c r="J66" i="26"/>
  <c r="J83" i="26" s="1"/>
  <c r="J99" i="26"/>
  <c r="J68" i="26"/>
  <c r="J86" i="26" s="1"/>
  <c r="K17" i="26"/>
  <c r="K48" i="26" s="1"/>
  <c r="K18" i="26"/>
  <c r="K15" i="26"/>
  <c r="K14" i="26"/>
  <c r="K31" i="26" s="1"/>
  <c r="K13" i="26"/>
  <c r="K16" i="26"/>
  <c r="O1" i="26"/>
  <c r="P36" i="29" s="1"/>
  <c r="G61" i="27"/>
  <c r="C23" i="8"/>
  <c r="C24" i="8" s="1"/>
  <c r="C25" i="8" s="1"/>
  <c r="D15" i="19"/>
  <c r="D14" i="19"/>
  <c r="D13" i="19"/>
  <c r="D12" i="19"/>
  <c r="J12" i="19" s="1"/>
  <c r="D11" i="19"/>
  <c r="D10" i="19"/>
  <c r="D9" i="19"/>
  <c r="D8" i="19"/>
  <c r="J8" i="19" s="1"/>
  <c r="Y23" i="16"/>
  <c r="AC21" i="16"/>
  <c r="AC25" i="16" s="1"/>
  <c r="AB21" i="16"/>
  <c r="AB23" i="16" s="1"/>
  <c r="AA21" i="16"/>
  <c r="AA24" i="16" s="1"/>
  <c r="Z21" i="16"/>
  <c r="Z25" i="16" s="1"/>
  <c r="Y21" i="16"/>
  <c r="Y25" i="16" s="1"/>
  <c r="X21" i="16"/>
  <c r="X23" i="16" s="1"/>
  <c r="W21" i="16"/>
  <c r="W24" i="16" s="1"/>
  <c r="V21" i="16"/>
  <c r="V25" i="16" s="1"/>
  <c r="U21" i="16"/>
  <c r="U25" i="16" s="1"/>
  <c r="T21" i="16"/>
  <c r="T23" i="16" s="1"/>
  <c r="S21" i="16"/>
  <c r="S24" i="16" s="1"/>
  <c r="R21" i="16"/>
  <c r="R25" i="16" s="1"/>
  <c r="Q21" i="16"/>
  <c r="Q25" i="16" s="1"/>
  <c r="L11" i="16"/>
  <c r="L10" i="16"/>
  <c r="R7" i="16"/>
  <c r="R10" i="16" s="1"/>
  <c r="Q7" i="16"/>
  <c r="Q9" i="16" s="1"/>
  <c r="P7" i="16"/>
  <c r="P9" i="16" s="1"/>
  <c r="O7" i="16"/>
  <c r="O11" i="16" s="1"/>
  <c r="N7" i="16"/>
  <c r="N10" i="16" s="1"/>
  <c r="M7" i="16"/>
  <c r="M9" i="16" s="1"/>
  <c r="L7" i="16"/>
  <c r="L9" i="16" s="1"/>
  <c r="K7" i="16"/>
  <c r="K11" i="16" s="1"/>
  <c r="J7" i="16"/>
  <c r="J10" i="16" s="1"/>
  <c r="I7" i="16"/>
  <c r="I9" i="16" s="1"/>
  <c r="H7" i="16"/>
  <c r="H9" i="16" s="1"/>
  <c r="G7" i="16"/>
  <c r="G11" i="16" s="1"/>
  <c r="F7" i="16"/>
  <c r="F10" i="16" s="1"/>
  <c r="E7" i="16"/>
  <c r="E9" i="16" s="1"/>
  <c r="S7" i="16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Q2" i="16" s="1"/>
  <c r="R2" i="16" s="1"/>
  <c r="S2" i="16" s="1"/>
  <c r="T2" i="16" s="1"/>
  <c r="U2" i="16" s="1"/>
  <c r="V2" i="16" s="1"/>
  <c r="W2" i="16" s="1"/>
  <c r="X2" i="16" s="1"/>
  <c r="Y2" i="16" s="1"/>
  <c r="Z2" i="16" s="1"/>
  <c r="AA2" i="16" s="1"/>
  <c r="AB2" i="16" s="1"/>
  <c r="AC2" i="16" s="1"/>
  <c r="AD2" i="16" s="1"/>
  <c r="AE2" i="16" s="1"/>
  <c r="AF2" i="16" s="1"/>
  <c r="AG2" i="16" s="1"/>
  <c r="AH2" i="16" s="1"/>
  <c r="AI2" i="16" s="1"/>
  <c r="AJ2" i="16" s="1"/>
  <c r="AK2" i="16" s="1"/>
  <c r="AL2" i="16" s="1"/>
  <c r="AM2" i="16" s="1"/>
  <c r="AN2" i="16" s="1"/>
  <c r="AO2" i="16" s="1"/>
  <c r="AP2" i="16" s="1"/>
  <c r="AQ2" i="16" s="1"/>
  <c r="AR2" i="16" s="1"/>
  <c r="AS2" i="16" s="1"/>
  <c r="AT2" i="16" s="1"/>
  <c r="AU2" i="16" s="1"/>
  <c r="AV2" i="16" s="1"/>
  <c r="AW2" i="16" s="1"/>
  <c r="AX2" i="16" s="1"/>
  <c r="AY2" i="16" s="1"/>
  <c r="AZ2" i="16" s="1"/>
  <c r="BA2" i="16" s="1"/>
  <c r="T24" i="16" l="1"/>
  <c r="U24" i="16"/>
  <c r="J9" i="16"/>
  <c r="X24" i="16"/>
  <c r="X26" i="16" s="1"/>
  <c r="K9" i="16"/>
  <c r="Y24" i="16"/>
  <c r="Y26" i="16" s="1"/>
  <c r="R9" i="16"/>
  <c r="W25" i="16"/>
  <c r="X25" i="16"/>
  <c r="P10" i="16"/>
  <c r="O10" i="16"/>
  <c r="Q23" i="16"/>
  <c r="Q26" i="16" s="1"/>
  <c r="J88" i="26"/>
  <c r="J87" i="26"/>
  <c r="J84" i="26"/>
  <c r="J85" i="26"/>
  <c r="AA25" i="16"/>
  <c r="O9" i="16"/>
  <c r="O12" i="16" s="1"/>
  <c r="H11" i="16"/>
  <c r="AB25" i="16"/>
  <c r="U23" i="16"/>
  <c r="U26" i="16" s="1"/>
  <c r="AB24" i="16"/>
  <c r="AB26" i="16" s="1"/>
  <c r="T26" i="16"/>
  <c r="AC24" i="16"/>
  <c r="P11" i="16"/>
  <c r="F9" i="16"/>
  <c r="H10" i="16"/>
  <c r="AC23" i="16"/>
  <c r="S25" i="16"/>
  <c r="N9" i="16"/>
  <c r="G10" i="16"/>
  <c r="L12" i="16"/>
  <c r="G9" i="16"/>
  <c r="G12" i="16" s="1"/>
  <c r="K10" i="16"/>
  <c r="K12" i="16" s="1"/>
  <c r="Q24" i="16"/>
  <c r="T25" i="16"/>
  <c r="S11" i="16"/>
  <c r="S9" i="16"/>
  <c r="S10" i="16"/>
  <c r="E11" i="16"/>
  <c r="I11" i="16"/>
  <c r="R23" i="16"/>
  <c r="R26" i="16" s="1"/>
  <c r="Z23" i="16"/>
  <c r="Z26" i="16" s="1"/>
  <c r="E10" i="16"/>
  <c r="E12" i="16" s="1"/>
  <c r="I10" i="16"/>
  <c r="M10" i="16"/>
  <c r="Q10" i="16"/>
  <c r="F11" i="16"/>
  <c r="J11" i="16"/>
  <c r="J12" i="16" s="1"/>
  <c r="N11" i="16"/>
  <c r="R11" i="16"/>
  <c r="R12" i="16" s="1"/>
  <c r="S23" i="16"/>
  <c r="S26" i="16" s="1"/>
  <c r="W23" i="16"/>
  <c r="AA23" i="16"/>
  <c r="R24" i="16"/>
  <c r="V24" i="16"/>
  <c r="Z24" i="16"/>
  <c r="M11" i="16"/>
  <c r="Q11" i="16"/>
  <c r="V23" i="16"/>
  <c r="V26" i="16" s="1"/>
  <c r="R8" i="29"/>
  <c r="L27" i="28"/>
  <c r="L29" i="28"/>
  <c r="L28" i="28"/>
  <c r="M12" i="28"/>
  <c r="N16" i="30" s="1"/>
  <c r="M23" i="28"/>
  <c r="V26" i="28"/>
  <c r="W15" i="28"/>
  <c r="T14" i="28"/>
  <c r="S22" i="28"/>
  <c r="I33" i="28"/>
  <c r="J12" i="30" s="1"/>
  <c r="K30" i="28"/>
  <c r="K31" i="28" s="1"/>
  <c r="K33" i="28" s="1"/>
  <c r="L12" i="30" s="1"/>
  <c r="C37" i="8"/>
  <c r="C42" i="8" s="1"/>
  <c r="AH136" i="26" s="1"/>
  <c r="AH141" i="26" s="1"/>
  <c r="C35" i="8"/>
  <c r="C40" i="8" s="1"/>
  <c r="AH137" i="26" s="1"/>
  <c r="AH142" i="26" s="1"/>
  <c r="C34" i="8"/>
  <c r="C39" i="8" s="1"/>
  <c r="AH134" i="26" s="1"/>
  <c r="AH139" i="26" s="1"/>
  <c r="C36" i="8"/>
  <c r="C41" i="8" s="1"/>
  <c r="AH135" i="26" s="1"/>
  <c r="AH140" i="26" s="1"/>
  <c r="I89" i="26"/>
  <c r="J94" i="26"/>
  <c r="J95" i="26" s="1"/>
  <c r="J8" i="30" s="1"/>
  <c r="J117" i="26"/>
  <c r="J118" i="26" s="1"/>
  <c r="I94" i="26"/>
  <c r="I117" i="26"/>
  <c r="I118" i="26" s="1"/>
  <c r="K47" i="26"/>
  <c r="K50" i="26" s="1"/>
  <c r="K59" i="26" s="1"/>
  <c r="K60" i="26" s="1"/>
  <c r="K93" i="26"/>
  <c r="I60" i="26"/>
  <c r="J62" i="26"/>
  <c r="J5" i="30" s="1"/>
  <c r="J100" i="26"/>
  <c r="J105" i="26" s="1"/>
  <c r="J112" i="26" s="1"/>
  <c r="J104" i="26"/>
  <c r="J110" i="26" s="1"/>
  <c r="J103" i="26"/>
  <c r="J109" i="26" s="1"/>
  <c r="J102" i="26"/>
  <c r="J108" i="26" s="1"/>
  <c r="J101" i="26"/>
  <c r="J107" i="26" s="1"/>
  <c r="I100" i="26"/>
  <c r="I105" i="26" s="1"/>
  <c r="I102" i="26"/>
  <c r="I104" i="26"/>
  <c r="I101" i="26"/>
  <c r="I103" i="26"/>
  <c r="K30" i="26"/>
  <c r="K33" i="26" s="1"/>
  <c r="K42" i="26" s="1"/>
  <c r="K66" i="26"/>
  <c r="K83" i="26" s="1"/>
  <c r="K99" i="26"/>
  <c r="K68" i="26"/>
  <c r="K86" i="26" s="1"/>
  <c r="I67" i="26"/>
  <c r="J67" i="26"/>
  <c r="J69" i="26"/>
  <c r="I69" i="26"/>
  <c r="L18" i="26"/>
  <c r="L14" i="26"/>
  <c r="L31" i="26" s="1"/>
  <c r="L16" i="26"/>
  <c r="L17" i="26"/>
  <c r="L48" i="26" s="1"/>
  <c r="L15" i="26"/>
  <c r="L13" i="26"/>
  <c r="P1" i="26"/>
  <c r="Q36" i="29" s="1"/>
  <c r="H61" i="27"/>
  <c r="AH143" i="26" l="1"/>
  <c r="H12" i="16"/>
  <c r="I61" i="26"/>
  <c r="I62" i="26" s="1"/>
  <c r="AA26" i="16"/>
  <c r="P12" i="16"/>
  <c r="N12" i="16"/>
  <c r="W26" i="16"/>
  <c r="I12" i="16"/>
  <c r="AC26" i="16"/>
  <c r="K84" i="26"/>
  <c r="K85" i="26"/>
  <c r="J89" i="26"/>
  <c r="J90" i="26" s="1"/>
  <c r="J7" i="30" s="1"/>
  <c r="K87" i="26"/>
  <c r="K88" i="26"/>
  <c r="K61" i="26"/>
  <c r="K62" i="26" s="1"/>
  <c r="K5" i="30" s="1"/>
  <c r="F12" i="16"/>
  <c r="Q12" i="16"/>
  <c r="M12" i="16"/>
  <c r="J43" i="26"/>
  <c r="S12" i="16"/>
  <c r="R9" i="29"/>
  <c r="S8" i="29"/>
  <c r="L30" i="28"/>
  <c r="L31" i="28" s="1"/>
  <c r="L33" i="28" s="1"/>
  <c r="M12" i="30" s="1"/>
  <c r="I61" i="27"/>
  <c r="M28" i="28"/>
  <c r="M27" i="28"/>
  <c r="M29" i="28"/>
  <c r="U14" i="28"/>
  <c r="T22" i="28"/>
  <c r="N12" i="28"/>
  <c r="O16" i="30" s="1"/>
  <c r="G16" i="30" s="1"/>
  <c r="I15" i="27" s="1"/>
  <c r="N23" i="28"/>
  <c r="W26" i="28"/>
  <c r="X15" i="28"/>
  <c r="P135" i="26"/>
  <c r="P140" i="26" s="1"/>
  <c r="Q135" i="26"/>
  <c r="Q140" i="26" s="1"/>
  <c r="AG135" i="26"/>
  <c r="AG140" i="26" s="1"/>
  <c r="M135" i="26"/>
  <c r="M140" i="26" s="1"/>
  <c r="T135" i="26"/>
  <c r="T140" i="26" s="1"/>
  <c r="V135" i="26"/>
  <c r="V140" i="26" s="1"/>
  <c r="W135" i="26"/>
  <c r="W140" i="26" s="1"/>
  <c r="Z135" i="26"/>
  <c r="Z140" i="26" s="1"/>
  <c r="AC135" i="26"/>
  <c r="AC140" i="26" s="1"/>
  <c r="AF135" i="26"/>
  <c r="AF140" i="26" s="1"/>
  <c r="L135" i="26"/>
  <c r="L140" i="26" s="1"/>
  <c r="N135" i="26"/>
  <c r="N140" i="26" s="1"/>
  <c r="O135" i="26"/>
  <c r="O140" i="26" s="1"/>
  <c r="R135" i="26"/>
  <c r="R140" i="26" s="1"/>
  <c r="X135" i="26"/>
  <c r="X140" i="26" s="1"/>
  <c r="Y135" i="26"/>
  <c r="Y140" i="26" s="1"/>
  <c r="AB135" i="26"/>
  <c r="AB140" i="26" s="1"/>
  <c r="AD135" i="26"/>
  <c r="AD140" i="26" s="1"/>
  <c r="AE135" i="26"/>
  <c r="AE140" i="26" s="1"/>
  <c r="K135" i="26"/>
  <c r="U135" i="26"/>
  <c r="U140" i="26" s="1"/>
  <c r="AA135" i="26"/>
  <c r="AA140" i="26" s="1"/>
  <c r="S135" i="26"/>
  <c r="S140" i="26" s="1"/>
  <c r="P134" i="26"/>
  <c r="P139" i="26" s="1"/>
  <c r="AE134" i="26"/>
  <c r="AE139" i="26" s="1"/>
  <c r="AD134" i="26"/>
  <c r="AD139" i="26" s="1"/>
  <c r="AF134" i="26"/>
  <c r="AF139" i="26" s="1"/>
  <c r="L134" i="26"/>
  <c r="L139" i="26" s="1"/>
  <c r="Y134" i="26"/>
  <c r="Y139" i="26" s="1"/>
  <c r="T134" i="26"/>
  <c r="T139" i="26" s="1"/>
  <c r="R134" i="26"/>
  <c r="R139" i="26" s="1"/>
  <c r="AA134" i="26"/>
  <c r="AA139" i="26" s="1"/>
  <c r="Z134" i="26"/>
  <c r="Z139" i="26" s="1"/>
  <c r="AB134" i="26"/>
  <c r="AB139" i="26" s="1"/>
  <c r="K134" i="26"/>
  <c r="U134" i="26"/>
  <c r="U139" i="26" s="1"/>
  <c r="N134" i="26"/>
  <c r="N139" i="26" s="1"/>
  <c r="Q134" i="26"/>
  <c r="Q139" i="26" s="1"/>
  <c r="W134" i="26"/>
  <c r="W139" i="26" s="1"/>
  <c r="V134" i="26"/>
  <c r="V139" i="26" s="1"/>
  <c r="X134" i="26"/>
  <c r="X139" i="26" s="1"/>
  <c r="AG134" i="26"/>
  <c r="AG139" i="26" s="1"/>
  <c r="M134" i="26"/>
  <c r="M139" i="26" s="1"/>
  <c r="O134" i="26"/>
  <c r="O139" i="26" s="1"/>
  <c r="AC134" i="26"/>
  <c r="AC139" i="26" s="1"/>
  <c r="S134" i="26"/>
  <c r="S139" i="26" s="1"/>
  <c r="P137" i="26"/>
  <c r="P142" i="26" s="1"/>
  <c r="Q137" i="26"/>
  <c r="Q142" i="26" s="1"/>
  <c r="U137" i="26"/>
  <c r="U142" i="26" s="1"/>
  <c r="AB137" i="26"/>
  <c r="AB142" i="26" s="1"/>
  <c r="AD137" i="26"/>
  <c r="AD142" i="26" s="1"/>
  <c r="AE137" i="26"/>
  <c r="AE142" i="26" s="1"/>
  <c r="R137" i="26"/>
  <c r="R142" i="26" s="1"/>
  <c r="AG137" i="26"/>
  <c r="AG142" i="26" s="1"/>
  <c r="M137" i="26"/>
  <c r="M142" i="26" s="1"/>
  <c r="X137" i="26"/>
  <c r="X142" i="26" s="1"/>
  <c r="Z137" i="26"/>
  <c r="Z142" i="26" s="1"/>
  <c r="AA137" i="26"/>
  <c r="AA142" i="26" s="1"/>
  <c r="AF137" i="26"/>
  <c r="AF142" i="26" s="1"/>
  <c r="L137" i="26"/>
  <c r="L142" i="26" s="1"/>
  <c r="O137" i="26"/>
  <c r="O142" i="26" s="1"/>
  <c r="AC137" i="26"/>
  <c r="AC142" i="26" s="1"/>
  <c r="K137" i="26"/>
  <c r="G137" i="26" s="1"/>
  <c r="T137" i="26"/>
  <c r="T142" i="26" s="1"/>
  <c r="V137" i="26"/>
  <c r="V142" i="26" s="1"/>
  <c r="W137" i="26"/>
  <c r="W142" i="26" s="1"/>
  <c r="Y137" i="26"/>
  <c r="Y142" i="26" s="1"/>
  <c r="N137" i="26"/>
  <c r="N142" i="26" s="1"/>
  <c r="S137" i="26"/>
  <c r="S142" i="26" s="1"/>
  <c r="AE136" i="26"/>
  <c r="AE141" i="26" s="1"/>
  <c r="AD136" i="26"/>
  <c r="AD141" i="26" s="1"/>
  <c r="K136" i="26"/>
  <c r="T136" i="26"/>
  <c r="T141" i="26" s="1"/>
  <c r="Y136" i="26"/>
  <c r="Y141" i="26" s="1"/>
  <c r="Q136" i="26"/>
  <c r="Q141" i="26" s="1"/>
  <c r="P136" i="26"/>
  <c r="P141" i="26" s="1"/>
  <c r="O136" i="26"/>
  <c r="O141" i="26" s="1"/>
  <c r="AA136" i="26"/>
  <c r="AA141" i="26" s="1"/>
  <c r="Z136" i="26"/>
  <c r="Z141" i="26" s="1"/>
  <c r="AF136" i="26"/>
  <c r="AF141" i="26" s="1"/>
  <c r="L136" i="26"/>
  <c r="L141" i="26" s="1"/>
  <c r="U136" i="26"/>
  <c r="U141" i="26" s="1"/>
  <c r="W136" i="26"/>
  <c r="W141" i="26" s="1"/>
  <c r="V136" i="26"/>
  <c r="V141" i="26" s="1"/>
  <c r="AB136" i="26"/>
  <c r="AB141" i="26" s="1"/>
  <c r="AG136" i="26"/>
  <c r="AG141" i="26" s="1"/>
  <c r="M136" i="26"/>
  <c r="M141" i="26" s="1"/>
  <c r="N136" i="26"/>
  <c r="N141" i="26" s="1"/>
  <c r="X136" i="26"/>
  <c r="X141" i="26" s="1"/>
  <c r="AC136" i="26"/>
  <c r="AC141" i="26" s="1"/>
  <c r="R136" i="26"/>
  <c r="R141" i="26" s="1"/>
  <c r="S136" i="26"/>
  <c r="S141" i="26" s="1"/>
  <c r="I110" i="26"/>
  <c r="I90" i="26"/>
  <c r="I107" i="26"/>
  <c r="I108" i="26"/>
  <c r="I109" i="26"/>
  <c r="I112" i="26"/>
  <c r="I95" i="26"/>
  <c r="I119" i="26"/>
  <c r="I123" i="26"/>
  <c r="I121" i="26"/>
  <c r="I120" i="26"/>
  <c r="J119" i="26"/>
  <c r="J125" i="26" s="1"/>
  <c r="J123" i="26"/>
  <c r="J129" i="26" s="1"/>
  <c r="J121" i="26"/>
  <c r="J127" i="26" s="1"/>
  <c r="J120" i="26"/>
  <c r="J126" i="26" s="1"/>
  <c r="K94" i="26"/>
  <c r="K95" i="26" s="1"/>
  <c r="K8" i="30" s="1"/>
  <c r="K117" i="26"/>
  <c r="K118" i="26" s="1"/>
  <c r="K123" i="26" s="1"/>
  <c r="K129" i="26" s="1"/>
  <c r="L47" i="26"/>
  <c r="L50" i="26" s="1"/>
  <c r="L59" i="26" s="1"/>
  <c r="L93" i="26"/>
  <c r="K67" i="26"/>
  <c r="K100" i="26"/>
  <c r="K105" i="26" s="1"/>
  <c r="K112" i="26" s="1"/>
  <c r="K104" i="26"/>
  <c r="K110" i="26" s="1"/>
  <c r="K103" i="26"/>
  <c r="K109" i="26" s="1"/>
  <c r="K102" i="26"/>
  <c r="K108" i="26" s="1"/>
  <c r="K101" i="26"/>
  <c r="K107" i="26" s="1"/>
  <c r="J113" i="26"/>
  <c r="K69" i="26"/>
  <c r="L30" i="26"/>
  <c r="L33" i="26" s="1"/>
  <c r="L42" i="26" s="1"/>
  <c r="L43" i="26" s="1"/>
  <c r="L44" i="26" s="1"/>
  <c r="L4" i="30" s="1"/>
  <c r="L99" i="26"/>
  <c r="L66" i="26"/>
  <c r="L68" i="26"/>
  <c r="I70" i="26"/>
  <c r="J70" i="26"/>
  <c r="J71" i="26" s="1"/>
  <c r="J6" i="30" s="1"/>
  <c r="M15" i="26"/>
  <c r="M16" i="26"/>
  <c r="M17" i="26"/>
  <c r="M48" i="26" s="1"/>
  <c r="M13" i="26"/>
  <c r="M18" i="26"/>
  <c r="M14" i="26"/>
  <c r="M31" i="26" s="1"/>
  <c r="K43" i="26"/>
  <c r="Q1" i="26"/>
  <c r="R36" i="29" s="1"/>
  <c r="I7" i="30" l="1"/>
  <c r="G135" i="26"/>
  <c r="D35" i="27" s="1"/>
  <c r="I8" i="30"/>
  <c r="G134" i="26"/>
  <c r="K89" i="26"/>
  <c r="J44" i="26"/>
  <c r="I5" i="30"/>
  <c r="G136" i="26"/>
  <c r="D36" i="27" s="1"/>
  <c r="S9" i="29"/>
  <c r="T8" i="29"/>
  <c r="J61" i="27"/>
  <c r="N28" i="28"/>
  <c r="N27" i="28"/>
  <c r="N29" i="28"/>
  <c r="O12" i="28"/>
  <c r="O23" i="28"/>
  <c r="Y15" i="28"/>
  <c r="X26" i="28"/>
  <c r="M30" i="28"/>
  <c r="O143" i="26"/>
  <c r="O144" i="26" s="1"/>
  <c r="O11" i="30" s="1"/>
  <c r="U143" i="26"/>
  <c r="AA143" i="26"/>
  <c r="V14" i="28"/>
  <c r="U22" i="28"/>
  <c r="L143" i="26"/>
  <c r="L144" i="26" s="1"/>
  <c r="L11" i="30" s="1"/>
  <c r="K140" i="26"/>
  <c r="G140" i="26" s="1"/>
  <c r="K142" i="26"/>
  <c r="D37" i="27"/>
  <c r="W143" i="26"/>
  <c r="K139" i="26"/>
  <c r="G139" i="26" s="1"/>
  <c r="D34" i="27"/>
  <c r="AF143" i="26"/>
  <c r="S143" i="26"/>
  <c r="AG143" i="26"/>
  <c r="Q143" i="26"/>
  <c r="AB143" i="26"/>
  <c r="T143" i="26"/>
  <c r="AD143" i="26"/>
  <c r="K141" i="26"/>
  <c r="V143" i="26"/>
  <c r="P143" i="26"/>
  <c r="P144" i="26" s="1"/>
  <c r="P11" i="30" s="1"/>
  <c r="M143" i="26"/>
  <c r="M144" i="26" s="1"/>
  <c r="M11" i="30" s="1"/>
  <c r="R143" i="26"/>
  <c r="E35" i="27"/>
  <c r="AC143" i="26"/>
  <c r="X143" i="26"/>
  <c r="N143" i="26"/>
  <c r="N144" i="26" s="1"/>
  <c r="N11" i="30" s="1"/>
  <c r="Z143" i="26"/>
  <c r="Y143" i="26"/>
  <c r="AE143" i="26"/>
  <c r="I126" i="26"/>
  <c r="I113" i="26"/>
  <c r="I114" i="26" s="1"/>
  <c r="I9" i="30" s="1"/>
  <c r="I127" i="26"/>
  <c r="I129" i="26"/>
  <c r="I125" i="26"/>
  <c r="I71" i="26"/>
  <c r="J114" i="26"/>
  <c r="J9" i="30" s="1"/>
  <c r="K70" i="26"/>
  <c r="K71" i="26" s="1"/>
  <c r="K6" i="30" s="1"/>
  <c r="K119" i="26"/>
  <c r="K125" i="26" s="1"/>
  <c r="K120" i="26"/>
  <c r="K126" i="26" s="1"/>
  <c r="K121" i="26"/>
  <c r="K127" i="26" s="1"/>
  <c r="L94" i="26"/>
  <c r="L117" i="26"/>
  <c r="L118" i="26" s="1"/>
  <c r="J130" i="26"/>
  <c r="J131" i="26" s="1"/>
  <c r="J10" i="30" s="1"/>
  <c r="M47" i="26"/>
  <c r="M50" i="26" s="1"/>
  <c r="M59" i="26" s="1"/>
  <c r="M93" i="26"/>
  <c r="L60" i="26"/>
  <c r="K113" i="26"/>
  <c r="K114" i="26" s="1"/>
  <c r="K9" i="30" s="1"/>
  <c r="L100" i="26"/>
  <c r="L105" i="26" s="1"/>
  <c r="L104" i="26"/>
  <c r="L103" i="26"/>
  <c r="L102" i="26"/>
  <c r="L108" i="26" s="1"/>
  <c r="L101" i="26"/>
  <c r="L107" i="26" s="1"/>
  <c r="M30" i="26"/>
  <c r="M33" i="26" s="1"/>
  <c r="M42" i="26" s="1"/>
  <c r="M68" i="26"/>
  <c r="M99" i="26"/>
  <c r="M66" i="26"/>
  <c r="L83" i="26"/>
  <c r="L67" i="26"/>
  <c r="L86" i="26"/>
  <c r="L69" i="26"/>
  <c r="K44" i="26"/>
  <c r="K4" i="30" s="1"/>
  <c r="N16" i="26"/>
  <c r="N17" i="26"/>
  <c r="N48" i="26" s="1"/>
  <c r="N18" i="26"/>
  <c r="N14" i="26"/>
  <c r="N31" i="26" s="1"/>
  <c r="N15" i="26"/>
  <c r="N13" i="26"/>
  <c r="R1" i="26"/>
  <c r="S36" i="29" s="1"/>
  <c r="J4" i="30" l="1"/>
  <c r="I6" i="30"/>
  <c r="K90" i="26"/>
  <c r="L61" i="26"/>
  <c r="M43" i="26"/>
  <c r="G142" i="26"/>
  <c r="G143" i="26" s="1"/>
  <c r="L109" i="26"/>
  <c r="L113" i="26" s="1"/>
  <c r="L114" i="26" s="1"/>
  <c r="L9" i="30" s="1"/>
  <c r="L110" i="26"/>
  <c r="G141" i="26"/>
  <c r="E36" i="27" s="1"/>
  <c r="L112" i="26"/>
  <c r="L84" i="26"/>
  <c r="L85" i="26"/>
  <c r="L87" i="26"/>
  <c r="L88" i="26"/>
  <c r="J13" i="30"/>
  <c r="U8" i="29"/>
  <c r="T9" i="29"/>
  <c r="P12" i="28"/>
  <c r="P23" i="28"/>
  <c r="M31" i="28"/>
  <c r="Y26" i="28"/>
  <c r="Z15" i="28"/>
  <c r="N30" i="28"/>
  <c r="N31" i="28" s="1"/>
  <c r="N33" i="28" s="1"/>
  <c r="O12" i="30" s="1"/>
  <c r="W14" i="28"/>
  <c r="V22" i="28"/>
  <c r="O27" i="28"/>
  <c r="O29" i="28"/>
  <c r="O28" i="28"/>
  <c r="K143" i="26"/>
  <c r="K144" i="26" s="1"/>
  <c r="E34" i="27"/>
  <c r="I130" i="26"/>
  <c r="I131" i="26" s="1"/>
  <c r="L95" i="26"/>
  <c r="Q144" i="26"/>
  <c r="Q11" i="30" s="1"/>
  <c r="M94" i="26"/>
  <c r="M95" i="26" s="1"/>
  <c r="M8" i="30" s="1"/>
  <c r="M117" i="26"/>
  <c r="M118" i="26" s="1"/>
  <c r="L120" i="26"/>
  <c r="L126" i="26" s="1"/>
  <c r="L123" i="26"/>
  <c r="L119" i="26"/>
  <c r="L125" i="26" s="1"/>
  <c r="L121" i="26"/>
  <c r="L127" i="26" s="1"/>
  <c r="K130" i="26"/>
  <c r="K131" i="26" s="1"/>
  <c r="K10" i="30" s="1"/>
  <c r="N47" i="26"/>
  <c r="N50" i="26" s="1"/>
  <c r="N59" i="26" s="1"/>
  <c r="N93" i="26"/>
  <c r="M60" i="26"/>
  <c r="M100" i="26"/>
  <c r="M105" i="26" s="1"/>
  <c r="M112" i="26" s="1"/>
  <c r="M104" i="26"/>
  <c r="M110" i="26" s="1"/>
  <c r="M103" i="26"/>
  <c r="M109" i="26" s="1"/>
  <c r="M102" i="26"/>
  <c r="M108" i="26" s="1"/>
  <c r="M101" i="26"/>
  <c r="L70" i="26"/>
  <c r="N30" i="26"/>
  <c r="N33" i="26" s="1"/>
  <c r="N42" i="26" s="1"/>
  <c r="N66" i="26"/>
  <c r="N99" i="26"/>
  <c r="N68" i="26"/>
  <c r="M86" i="26"/>
  <c r="M69" i="26"/>
  <c r="M83" i="26"/>
  <c r="M67" i="26"/>
  <c r="O17" i="26"/>
  <c r="O48" i="26" s="1"/>
  <c r="O18" i="26"/>
  <c r="O15" i="26"/>
  <c r="O16" i="26"/>
  <c r="O13" i="26"/>
  <c r="O14" i="26"/>
  <c r="O31" i="26" s="1"/>
  <c r="S1" i="26"/>
  <c r="T36" i="29" s="1"/>
  <c r="K61" i="27"/>
  <c r="K7" i="30" l="1"/>
  <c r="M107" i="26"/>
  <c r="E37" i="27"/>
  <c r="L8" i="30"/>
  <c r="M44" i="26"/>
  <c r="E39" i="27"/>
  <c r="L71" i="26"/>
  <c r="I10" i="30"/>
  <c r="I13" i="30" s="1"/>
  <c r="L62" i="26"/>
  <c r="K11" i="30"/>
  <c r="M87" i="26"/>
  <c r="M88" i="26"/>
  <c r="L89" i="26"/>
  <c r="M84" i="26"/>
  <c r="M85" i="26"/>
  <c r="M61" i="26"/>
  <c r="M62" i="26" s="1"/>
  <c r="M5" i="30" s="1"/>
  <c r="K13" i="30"/>
  <c r="V8" i="29"/>
  <c r="U9" i="29"/>
  <c r="Q12" i="28"/>
  <c r="Q23" i="28"/>
  <c r="Z26" i="28"/>
  <c r="AA15" i="28"/>
  <c r="W22" i="28"/>
  <c r="X14" i="28"/>
  <c r="P27" i="28"/>
  <c r="P29" i="28"/>
  <c r="P28" i="28"/>
  <c r="O30" i="28"/>
  <c r="O31" i="28" s="1"/>
  <c r="O33" i="28" s="1"/>
  <c r="P12" i="30" s="1"/>
  <c r="M33" i="28"/>
  <c r="N12" i="30" s="1"/>
  <c r="L129" i="26"/>
  <c r="R144" i="26"/>
  <c r="R11" i="30" s="1"/>
  <c r="M121" i="26"/>
  <c r="M127" i="26" s="1"/>
  <c r="M119" i="26"/>
  <c r="M120" i="26"/>
  <c r="M123" i="26"/>
  <c r="M129" i="26" s="1"/>
  <c r="N94" i="26"/>
  <c r="N95" i="26" s="1"/>
  <c r="N8" i="30" s="1"/>
  <c r="N117" i="26"/>
  <c r="N118" i="26" s="1"/>
  <c r="O47" i="26"/>
  <c r="O50" i="26" s="1"/>
  <c r="O59" i="26" s="1"/>
  <c r="O93" i="26"/>
  <c r="N60" i="26"/>
  <c r="N100" i="26"/>
  <c r="N105" i="26" s="1"/>
  <c r="N112" i="26" s="1"/>
  <c r="N104" i="26"/>
  <c r="N103" i="26"/>
  <c r="N102" i="26"/>
  <c r="N101" i="26"/>
  <c r="N107" i="26" s="1"/>
  <c r="M70" i="26"/>
  <c r="M71" i="26" s="1"/>
  <c r="M6" i="30" s="1"/>
  <c r="O30" i="26"/>
  <c r="O33" i="26" s="1"/>
  <c r="O42" i="26" s="1"/>
  <c r="O43" i="26" s="1"/>
  <c r="O44" i="26" s="1"/>
  <c r="O4" i="30" s="1"/>
  <c r="O66" i="26"/>
  <c r="O99" i="26"/>
  <c r="O68" i="26"/>
  <c r="N83" i="26"/>
  <c r="N67" i="26"/>
  <c r="N86" i="26"/>
  <c r="N69" i="26"/>
  <c r="P18" i="26"/>
  <c r="P14" i="26"/>
  <c r="P31" i="26" s="1"/>
  <c r="P15" i="26"/>
  <c r="P16" i="26"/>
  <c r="P13" i="26"/>
  <c r="P17" i="26"/>
  <c r="P48" i="26" s="1"/>
  <c r="N43" i="26"/>
  <c r="T1" i="26"/>
  <c r="U36" i="29" s="1"/>
  <c r="L61" i="27"/>
  <c r="M4" i="30" l="1"/>
  <c r="M113" i="26"/>
  <c r="M114" i="26" s="1"/>
  <c r="M9" i="30" s="1"/>
  <c r="L130" i="26"/>
  <c r="L131" i="26" s="1"/>
  <c r="L5" i="30"/>
  <c r="M126" i="26"/>
  <c r="L6" i="30"/>
  <c r="N108" i="26"/>
  <c r="L90" i="26"/>
  <c r="N87" i="26"/>
  <c r="N88" i="26"/>
  <c r="N84" i="26"/>
  <c r="N85" i="26"/>
  <c r="M89" i="26"/>
  <c r="M90" i="26" s="1"/>
  <c r="M7" i="30" s="1"/>
  <c r="N61" i="26"/>
  <c r="W8" i="29"/>
  <c r="V9" i="29"/>
  <c r="R12" i="28"/>
  <c r="R23" i="28"/>
  <c r="AA26" i="28"/>
  <c r="AB15" i="28"/>
  <c r="P30" i="28"/>
  <c r="P31" i="28" s="1"/>
  <c r="P33" i="28" s="1"/>
  <c r="Q12" i="30" s="1"/>
  <c r="Q28" i="28"/>
  <c r="Q27" i="28"/>
  <c r="Q29" i="28"/>
  <c r="Y14" i="28"/>
  <c r="X22" i="28"/>
  <c r="N109" i="26"/>
  <c r="M125" i="26"/>
  <c r="N110" i="26"/>
  <c r="S144" i="26"/>
  <c r="N123" i="26"/>
  <c r="N129" i="26" s="1"/>
  <c r="N121" i="26"/>
  <c r="N120" i="26"/>
  <c r="N126" i="26" s="1"/>
  <c r="N119" i="26"/>
  <c r="N125" i="26" s="1"/>
  <c r="O94" i="26"/>
  <c r="O95" i="26" s="1"/>
  <c r="O117" i="26"/>
  <c r="O118" i="26" s="1"/>
  <c r="P47" i="26"/>
  <c r="P50" i="26" s="1"/>
  <c r="P59" i="26" s="1"/>
  <c r="P93" i="26"/>
  <c r="O60" i="26"/>
  <c r="O100" i="26"/>
  <c r="O105" i="26" s="1"/>
  <c r="O112" i="26" s="1"/>
  <c r="O104" i="26"/>
  <c r="O110" i="26" s="1"/>
  <c r="O103" i="26"/>
  <c r="O109" i="26" s="1"/>
  <c r="O102" i="26"/>
  <c r="O108" i="26" s="1"/>
  <c r="O101" i="26"/>
  <c r="P30" i="26"/>
  <c r="P33" i="26" s="1"/>
  <c r="P42" i="26" s="1"/>
  <c r="P43" i="26" s="1"/>
  <c r="P99" i="26"/>
  <c r="P66" i="26"/>
  <c r="P68" i="26"/>
  <c r="O83" i="26"/>
  <c r="O67" i="26"/>
  <c r="N70" i="26"/>
  <c r="N71" i="26" s="1"/>
  <c r="N6" i="30" s="1"/>
  <c r="O86" i="26"/>
  <c r="O69" i="26"/>
  <c r="N44" i="26"/>
  <c r="N4" i="30" s="1"/>
  <c r="Q15" i="26"/>
  <c r="Q16" i="26"/>
  <c r="Q17" i="26"/>
  <c r="Q48" i="26" s="1"/>
  <c r="Q13" i="26"/>
  <c r="Q18" i="26"/>
  <c r="Q14" i="26"/>
  <c r="Q31" i="26" s="1"/>
  <c r="U1" i="26"/>
  <c r="V36" i="29" s="1"/>
  <c r="M61" i="27"/>
  <c r="S11" i="30" l="1"/>
  <c r="N62" i="26"/>
  <c r="L7" i="30"/>
  <c r="O8" i="30"/>
  <c r="P44" i="26"/>
  <c r="P4" i="30" s="1"/>
  <c r="O107" i="26"/>
  <c r="O113" i="26" s="1"/>
  <c r="O114" i="26" s="1"/>
  <c r="O9" i="30" s="1"/>
  <c r="L10" i="30"/>
  <c r="O84" i="26"/>
  <c r="O85" i="26"/>
  <c r="O87" i="26"/>
  <c r="O88" i="26"/>
  <c r="N89" i="26"/>
  <c r="O61" i="26"/>
  <c r="O62" i="26" s="1"/>
  <c r="O5" i="30" s="1"/>
  <c r="W9" i="29"/>
  <c r="X8" i="29"/>
  <c r="Z14" i="28"/>
  <c r="Y22" i="28"/>
  <c r="R28" i="28"/>
  <c r="R27" i="28"/>
  <c r="R29" i="28"/>
  <c r="Q30" i="28"/>
  <c r="Q31" i="28" s="1"/>
  <c r="Q33" i="28" s="1"/>
  <c r="R12" i="30" s="1"/>
  <c r="S12" i="28"/>
  <c r="S23" i="28"/>
  <c r="AC15" i="28"/>
  <c r="AB26" i="28"/>
  <c r="N127" i="26"/>
  <c r="N130" i="26" s="1"/>
  <c r="N131" i="26" s="1"/>
  <c r="N10" i="30" s="1"/>
  <c r="M130" i="26"/>
  <c r="M131" i="26" s="1"/>
  <c r="M10" i="30" s="1"/>
  <c r="M13" i="30" s="1"/>
  <c r="N113" i="26"/>
  <c r="N114" i="26" s="1"/>
  <c r="N9" i="30" s="1"/>
  <c r="T144" i="26"/>
  <c r="T11" i="30" s="1"/>
  <c r="O119" i="26"/>
  <c r="O125" i="26" s="1"/>
  <c r="O120" i="26"/>
  <c r="O123" i="26"/>
  <c r="O121" i="26"/>
  <c r="O127" i="26" s="1"/>
  <c r="P94" i="26"/>
  <c r="P117" i="26"/>
  <c r="P118" i="26" s="1"/>
  <c r="Q47" i="26"/>
  <c r="Q50" i="26" s="1"/>
  <c r="Q59" i="26" s="1"/>
  <c r="Q93" i="26"/>
  <c r="P60" i="26"/>
  <c r="P100" i="26"/>
  <c r="P105" i="26" s="1"/>
  <c r="P112" i="26" s="1"/>
  <c r="P104" i="26"/>
  <c r="P110" i="26" s="1"/>
  <c r="P103" i="26"/>
  <c r="P109" i="26" s="1"/>
  <c r="P102" i="26"/>
  <c r="P108" i="26" s="1"/>
  <c r="P101" i="26"/>
  <c r="P107" i="26" s="1"/>
  <c r="O70" i="26"/>
  <c r="P86" i="26"/>
  <c r="P69" i="26"/>
  <c r="Q30" i="26"/>
  <c r="Q33" i="26" s="1"/>
  <c r="Q42" i="26" s="1"/>
  <c r="Q43" i="26" s="1"/>
  <c r="Q44" i="26" s="1"/>
  <c r="Q4" i="30" s="1"/>
  <c r="Q99" i="26"/>
  <c r="Q66" i="26"/>
  <c r="Q68" i="26"/>
  <c r="P83" i="26"/>
  <c r="P67" i="26"/>
  <c r="R16" i="26"/>
  <c r="R17" i="26"/>
  <c r="R48" i="26" s="1"/>
  <c r="R18" i="26"/>
  <c r="R14" i="26"/>
  <c r="R31" i="26" s="1"/>
  <c r="R15" i="26"/>
  <c r="R13" i="26"/>
  <c r="V1" i="26"/>
  <c r="W36" i="29" s="1"/>
  <c r="N61" i="27"/>
  <c r="L13" i="30" l="1"/>
  <c r="O126" i="26"/>
  <c r="N5" i="30"/>
  <c r="N90" i="26"/>
  <c r="P87" i="26"/>
  <c r="P88" i="26"/>
  <c r="O89" i="26"/>
  <c r="O90" i="26" s="1"/>
  <c r="O7" i="30" s="1"/>
  <c r="P84" i="26"/>
  <c r="P85" i="26"/>
  <c r="P61" i="26"/>
  <c r="P62" i="26" s="1"/>
  <c r="P5" i="30" s="1"/>
  <c r="Y8" i="29"/>
  <c r="X9" i="29"/>
  <c r="AC26" i="28"/>
  <c r="AD15" i="28"/>
  <c r="S27" i="28"/>
  <c r="S29" i="28"/>
  <c r="S28" i="28"/>
  <c r="T12" i="28"/>
  <c r="T23" i="28"/>
  <c r="R30" i="28"/>
  <c r="R31" i="28" s="1"/>
  <c r="R33" i="28" s="1"/>
  <c r="S12" i="30" s="1"/>
  <c r="AA14" i="28"/>
  <c r="Z22" i="28"/>
  <c r="O129" i="26"/>
  <c r="O130" i="26" s="1"/>
  <c r="O131" i="26" s="1"/>
  <c r="O10" i="30" s="1"/>
  <c r="P95" i="26"/>
  <c r="O71" i="26"/>
  <c r="U144" i="26"/>
  <c r="U11" i="30" s="1"/>
  <c r="P120" i="26"/>
  <c r="P126" i="26" s="1"/>
  <c r="P123" i="26"/>
  <c r="P129" i="26" s="1"/>
  <c r="P119" i="26"/>
  <c r="P125" i="26" s="1"/>
  <c r="P121" i="26"/>
  <c r="Q94" i="26"/>
  <c r="Q95" i="26" s="1"/>
  <c r="Q8" i="30" s="1"/>
  <c r="Q117" i="26"/>
  <c r="Q118" i="26" s="1"/>
  <c r="R47" i="26"/>
  <c r="R50" i="26" s="1"/>
  <c r="R59" i="26" s="1"/>
  <c r="R93" i="26"/>
  <c r="Q60" i="26"/>
  <c r="Q100" i="26"/>
  <c r="Q105" i="26" s="1"/>
  <c r="Q112" i="26" s="1"/>
  <c r="Q104" i="26"/>
  <c r="Q110" i="26" s="1"/>
  <c r="Q103" i="26"/>
  <c r="Q109" i="26" s="1"/>
  <c r="Q102" i="26"/>
  <c r="Q108" i="26" s="1"/>
  <c r="Q101" i="26"/>
  <c r="Q107" i="26" s="1"/>
  <c r="P113" i="26"/>
  <c r="P114" i="26" s="1"/>
  <c r="P9" i="30" s="1"/>
  <c r="Q86" i="26"/>
  <c r="Q69" i="26"/>
  <c r="P70" i="26"/>
  <c r="P71" i="26" s="1"/>
  <c r="P6" i="30" s="1"/>
  <c r="R30" i="26"/>
  <c r="R33" i="26" s="1"/>
  <c r="R42" i="26" s="1"/>
  <c r="R43" i="26" s="1"/>
  <c r="R44" i="26" s="1"/>
  <c r="R4" i="30" s="1"/>
  <c r="R66" i="26"/>
  <c r="R68" i="26"/>
  <c r="R99" i="26"/>
  <c r="Q83" i="26"/>
  <c r="Q67" i="26"/>
  <c r="S17" i="26"/>
  <c r="S48" i="26" s="1"/>
  <c r="S18" i="26"/>
  <c r="S15" i="26"/>
  <c r="S16" i="26"/>
  <c r="S14" i="26"/>
  <c r="S31" i="26" s="1"/>
  <c r="S13" i="26"/>
  <c r="W1" i="26"/>
  <c r="X36" i="29" s="1"/>
  <c r="O61" i="27"/>
  <c r="N7" i="30" l="1"/>
  <c r="N13" i="30" s="1"/>
  <c r="O6" i="30"/>
  <c r="P8" i="30"/>
  <c r="Q87" i="26"/>
  <c r="Q88" i="26"/>
  <c r="Q84" i="26"/>
  <c r="Q85" i="26"/>
  <c r="P89" i="26"/>
  <c r="P90" i="26" s="1"/>
  <c r="P7" i="30" s="1"/>
  <c r="Q61" i="26"/>
  <c r="Q62" i="26" s="1"/>
  <c r="Q5" i="30" s="1"/>
  <c r="O13" i="30"/>
  <c r="Z8" i="29"/>
  <c r="Y9" i="29"/>
  <c r="U12" i="28"/>
  <c r="U23" i="28"/>
  <c r="AA22" i="28"/>
  <c r="AB14" i="28"/>
  <c r="S30" i="28"/>
  <c r="S31" i="28" s="1"/>
  <c r="S33" i="28" s="1"/>
  <c r="T12" i="30" s="1"/>
  <c r="T27" i="28"/>
  <c r="T29" i="28"/>
  <c r="T28" i="28"/>
  <c r="AD26" i="28"/>
  <c r="AE15" i="28"/>
  <c r="P127" i="26"/>
  <c r="P130" i="26" s="1"/>
  <c r="P131" i="26" s="1"/>
  <c r="P10" i="30" s="1"/>
  <c r="V144" i="26"/>
  <c r="V11" i="30" s="1"/>
  <c r="Q121" i="26"/>
  <c r="Q127" i="26" s="1"/>
  <c r="Q123" i="26"/>
  <c r="Q129" i="26" s="1"/>
  <c r="Q119" i="26"/>
  <c r="Q125" i="26" s="1"/>
  <c r="Q120" i="26"/>
  <c r="Q126" i="26" s="1"/>
  <c r="R94" i="26"/>
  <c r="R95" i="26" s="1"/>
  <c r="R8" i="30" s="1"/>
  <c r="R117" i="26"/>
  <c r="R118" i="26" s="1"/>
  <c r="S47" i="26"/>
  <c r="S50" i="26" s="1"/>
  <c r="S59" i="26" s="1"/>
  <c r="S93" i="26"/>
  <c r="R60" i="26"/>
  <c r="R100" i="26"/>
  <c r="R105" i="26" s="1"/>
  <c r="R112" i="26" s="1"/>
  <c r="R104" i="26"/>
  <c r="R110" i="26" s="1"/>
  <c r="R103" i="26"/>
  <c r="R109" i="26" s="1"/>
  <c r="R102" i="26"/>
  <c r="R108" i="26" s="1"/>
  <c r="R101" i="26"/>
  <c r="R107" i="26" s="1"/>
  <c r="Q113" i="26"/>
  <c r="Q114" i="26" s="1"/>
  <c r="Q9" i="30" s="1"/>
  <c r="Q70" i="26"/>
  <c r="Q71" i="26" s="1"/>
  <c r="Q6" i="30" s="1"/>
  <c r="R86" i="26"/>
  <c r="R69" i="26"/>
  <c r="S30" i="26"/>
  <c r="S33" i="26" s="1"/>
  <c r="S42" i="26" s="1"/>
  <c r="S43" i="26" s="1"/>
  <c r="S44" i="26" s="1"/>
  <c r="S4" i="30" s="1"/>
  <c r="S66" i="26"/>
  <c r="S99" i="26"/>
  <c r="S68" i="26"/>
  <c r="R83" i="26"/>
  <c r="R67" i="26"/>
  <c r="T18" i="26"/>
  <c r="T14" i="26"/>
  <c r="T31" i="26" s="1"/>
  <c r="T15" i="26"/>
  <c r="T16" i="26"/>
  <c r="T13" i="26"/>
  <c r="T17" i="26"/>
  <c r="T48" i="26" s="1"/>
  <c r="X1" i="26"/>
  <c r="Y36" i="29" s="1"/>
  <c r="P61" i="27"/>
  <c r="P13" i="30" l="1"/>
  <c r="R84" i="26"/>
  <c r="R85" i="26"/>
  <c r="R87" i="26"/>
  <c r="R88" i="26"/>
  <c r="Q89" i="26"/>
  <c r="Q90" i="26" s="1"/>
  <c r="Q7" i="30" s="1"/>
  <c r="R61" i="26"/>
  <c r="R62" i="26" s="1"/>
  <c r="R5" i="30" s="1"/>
  <c r="Z9" i="29"/>
  <c r="AA8" i="29"/>
  <c r="AC14" i="28"/>
  <c r="AB22" i="28"/>
  <c r="V12" i="28"/>
  <c r="V23" i="28"/>
  <c r="AE26" i="28"/>
  <c r="AF15" i="28"/>
  <c r="AG15" i="28" s="1"/>
  <c r="AG26" i="28" s="1"/>
  <c r="T30" i="28"/>
  <c r="T31" i="28" s="1"/>
  <c r="T33" i="28" s="1"/>
  <c r="U12" i="30" s="1"/>
  <c r="U28" i="28"/>
  <c r="U27" i="28"/>
  <c r="U29" i="28"/>
  <c r="W144" i="26"/>
  <c r="W11" i="30" s="1"/>
  <c r="R123" i="26"/>
  <c r="R129" i="26" s="1"/>
  <c r="R121" i="26"/>
  <c r="R127" i="26" s="1"/>
  <c r="R120" i="26"/>
  <c r="R126" i="26" s="1"/>
  <c r="R119" i="26"/>
  <c r="R125" i="26" s="1"/>
  <c r="Q130" i="26"/>
  <c r="Q131" i="26" s="1"/>
  <c r="S94" i="26"/>
  <c r="S95" i="26" s="1"/>
  <c r="S117" i="26"/>
  <c r="S118" i="26" s="1"/>
  <c r="T47" i="26"/>
  <c r="T50" i="26" s="1"/>
  <c r="T59" i="26" s="1"/>
  <c r="T93" i="26"/>
  <c r="S60" i="26"/>
  <c r="S100" i="26"/>
  <c r="S105" i="26" s="1"/>
  <c r="S112" i="26" s="1"/>
  <c r="S104" i="26"/>
  <c r="S110" i="26" s="1"/>
  <c r="S103" i="26"/>
  <c r="S109" i="26" s="1"/>
  <c r="S102" i="26"/>
  <c r="S108" i="26" s="1"/>
  <c r="S101" i="26"/>
  <c r="S107" i="26" s="1"/>
  <c r="R113" i="26"/>
  <c r="R114" i="26" s="1"/>
  <c r="R9" i="30" s="1"/>
  <c r="S83" i="26"/>
  <c r="S67" i="26"/>
  <c r="T30" i="26"/>
  <c r="T33" i="26" s="1"/>
  <c r="T42" i="26" s="1"/>
  <c r="T43" i="26" s="1"/>
  <c r="T44" i="26" s="1"/>
  <c r="T4" i="30" s="1"/>
  <c r="T99" i="26"/>
  <c r="T68" i="26"/>
  <c r="T66" i="26"/>
  <c r="S86" i="26"/>
  <c r="S69" i="26"/>
  <c r="R70" i="26"/>
  <c r="R71" i="26" s="1"/>
  <c r="R6" i="30" s="1"/>
  <c r="U15" i="26"/>
  <c r="U16" i="26"/>
  <c r="U17" i="26"/>
  <c r="U48" i="26" s="1"/>
  <c r="U18" i="26"/>
  <c r="U14" i="26"/>
  <c r="U31" i="26" s="1"/>
  <c r="U13" i="26"/>
  <c r="Y1" i="26"/>
  <c r="Z36" i="29" s="1"/>
  <c r="Q61" i="27"/>
  <c r="S8" i="30" l="1"/>
  <c r="Q10" i="30"/>
  <c r="Q13" i="30" s="1"/>
  <c r="R89" i="26"/>
  <c r="R90" i="26" s="1"/>
  <c r="R7" i="30" s="1"/>
  <c r="S84" i="26"/>
  <c r="S85" i="26"/>
  <c r="S87" i="26"/>
  <c r="S89" i="26" s="1"/>
  <c r="S90" i="26" s="1"/>
  <c r="S7" i="30" s="1"/>
  <c r="S88" i="26"/>
  <c r="S61" i="26"/>
  <c r="S62" i="26" s="1"/>
  <c r="S5" i="30" s="1"/>
  <c r="AA9" i="29"/>
  <c r="AB8" i="29"/>
  <c r="U30" i="28"/>
  <c r="U31" i="28" s="1"/>
  <c r="U33" i="28" s="1"/>
  <c r="V12" i="30" s="1"/>
  <c r="W12" i="28"/>
  <c r="W23" i="28"/>
  <c r="AF26" i="28"/>
  <c r="F15" i="28"/>
  <c r="V28" i="28"/>
  <c r="V29" i="28"/>
  <c r="V27" i="28"/>
  <c r="AD14" i="28"/>
  <c r="AC22" i="28"/>
  <c r="X144" i="26"/>
  <c r="X11" i="30" s="1"/>
  <c r="R130" i="26"/>
  <c r="R131" i="26" s="1"/>
  <c r="R10" i="30" s="1"/>
  <c r="R13" i="30" s="1"/>
  <c r="S119" i="26"/>
  <c r="S125" i="26" s="1"/>
  <c r="S121" i="26"/>
  <c r="S127" i="26" s="1"/>
  <c r="S120" i="26"/>
  <c r="S126" i="26" s="1"/>
  <c r="S123" i="26"/>
  <c r="S129" i="26" s="1"/>
  <c r="T94" i="26"/>
  <c r="T95" i="26" s="1"/>
  <c r="T8" i="30" s="1"/>
  <c r="T117" i="26"/>
  <c r="T118" i="26" s="1"/>
  <c r="U47" i="26"/>
  <c r="U50" i="26" s="1"/>
  <c r="U59" i="26" s="1"/>
  <c r="U93" i="26"/>
  <c r="T60" i="26"/>
  <c r="T100" i="26"/>
  <c r="T105" i="26" s="1"/>
  <c r="T112" i="26" s="1"/>
  <c r="T104" i="26"/>
  <c r="T110" i="26" s="1"/>
  <c r="T103" i="26"/>
  <c r="T109" i="26" s="1"/>
  <c r="T102" i="26"/>
  <c r="T108" i="26" s="1"/>
  <c r="T101" i="26"/>
  <c r="T107" i="26" s="1"/>
  <c r="S113" i="26"/>
  <c r="S114" i="26" s="1"/>
  <c r="S9" i="30" s="1"/>
  <c r="S70" i="26"/>
  <c r="S71" i="26" s="1"/>
  <c r="S6" i="30" s="1"/>
  <c r="T83" i="26"/>
  <c r="T67" i="26"/>
  <c r="U30" i="26"/>
  <c r="U33" i="26" s="1"/>
  <c r="U42" i="26" s="1"/>
  <c r="U43" i="26" s="1"/>
  <c r="U44" i="26" s="1"/>
  <c r="U4" i="30" s="1"/>
  <c r="U99" i="26"/>
  <c r="U68" i="26"/>
  <c r="U66" i="26"/>
  <c r="T86" i="26"/>
  <c r="T69" i="26"/>
  <c r="V16" i="26"/>
  <c r="V17" i="26"/>
  <c r="V48" i="26" s="1"/>
  <c r="V18" i="26"/>
  <c r="V14" i="26"/>
  <c r="V31" i="26" s="1"/>
  <c r="V15" i="26"/>
  <c r="V13" i="26"/>
  <c r="Z1" i="26"/>
  <c r="AA36" i="29" s="1"/>
  <c r="R61" i="27"/>
  <c r="T87" i="26" l="1"/>
  <c r="T88" i="26"/>
  <c r="T84" i="26"/>
  <c r="T85" i="26"/>
  <c r="T61" i="26"/>
  <c r="T62" i="26" s="1"/>
  <c r="T5" i="30" s="1"/>
  <c r="V30" i="28"/>
  <c r="V31" i="28" s="1"/>
  <c r="V33" i="28" s="1"/>
  <c r="W12" i="30" s="1"/>
  <c r="AC8" i="29"/>
  <c r="AB9" i="29"/>
  <c r="X12" i="28"/>
  <c r="X23" i="28"/>
  <c r="F26" i="28"/>
  <c r="AE14" i="28"/>
  <c r="AD22" i="28"/>
  <c r="W27" i="28"/>
  <c r="W29" i="28"/>
  <c r="W28" i="28"/>
  <c r="Y144" i="26"/>
  <c r="Y11" i="30" s="1"/>
  <c r="U94" i="26"/>
  <c r="U95" i="26" s="1"/>
  <c r="U8" i="30" s="1"/>
  <c r="U117" i="26"/>
  <c r="U118" i="26" s="1"/>
  <c r="T120" i="26"/>
  <c r="T126" i="26" s="1"/>
  <c r="T121" i="26"/>
  <c r="T127" i="26" s="1"/>
  <c r="T123" i="26"/>
  <c r="T129" i="26" s="1"/>
  <c r="T119" i="26"/>
  <c r="T125" i="26" s="1"/>
  <c r="S130" i="26"/>
  <c r="S131" i="26" s="1"/>
  <c r="S10" i="30" s="1"/>
  <c r="S13" i="30" s="1"/>
  <c r="V47" i="26"/>
  <c r="V50" i="26" s="1"/>
  <c r="V59" i="26" s="1"/>
  <c r="V93" i="26"/>
  <c r="U60" i="26"/>
  <c r="U100" i="26"/>
  <c r="U105" i="26" s="1"/>
  <c r="U112" i="26" s="1"/>
  <c r="U104" i="26"/>
  <c r="U110" i="26" s="1"/>
  <c r="U103" i="26"/>
  <c r="U109" i="26" s="1"/>
  <c r="U102" i="26"/>
  <c r="U108" i="26" s="1"/>
  <c r="U101" i="26"/>
  <c r="U107" i="26" s="1"/>
  <c r="T113" i="26"/>
  <c r="T114" i="26" s="1"/>
  <c r="T9" i="30" s="1"/>
  <c r="T70" i="26"/>
  <c r="T71" i="26" s="1"/>
  <c r="T6" i="30" s="1"/>
  <c r="U83" i="26"/>
  <c r="U67" i="26"/>
  <c r="V30" i="26"/>
  <c r="V33" i="26" s="1"/>
  <c r="V42" i="26" s="1"/>
  <c r="V43" i="26" s="1"/>
  <c r="V44" i="26" s="1"/>
  <c r="V4" i="30" s="1"/>
  <c r="V66" i="26"/>
  <c r="V99" i="26"/>
  <c r="V68" i="26"/>
  <c r="U86" i="26"/>
  <c r="U69" i="26"/>
  <c r="W17" i="26"/>
  <c r="W48" i="26" s="1"/>
  <c r="W18" i="26"/>
  <c r="W15" i="26"/>
  <c r="W13" i="26"/>
  <c r="W16" i="26"/>
  <c r="W14" i="26"/>
  <c r="W31" i="26" s="1"/>
  <c r="AA1" i="26"/>
  <c r="AB36" i="29" s="1"/>
  <c r="S61" i="27"/>
  <c r="U87" i="26" l="1"/>
  <c r="U88" i="26"/>
  <c r="U84" i="26"/>
  <c r="U85" i="26"/>
  <c r="T89" i="26"/>
  <c r="T90" i="26" s="1"/>
  <c r="T7" i="30" s="1"/>
  <c r="U61" i="26"/>
  <c r="U62" i="26" s="1"/>
  <c r="U5" i="30" s="1"/>
  <c r="AD8" i="29"/>
  <c r="AC9" i="29"/>
  <c r="W30" i="28"/>
  <c r="W31" i="28" s="1"/>
  <c r="W33" i="28" s="1"/>
  <c r="X12" i="30" s="1"/>
  <c r="X27" i="28"/>
  <c r="X29" i="28"/>
  <c r="X28" i="28"/>
  <c r="Y12" i="28"/>
  <c r="Y23" i="28"/>
  <c r="AF14" i="28"/>
  <c r="AG14" i="28" s="1"/>
  <c r="AG22" i="28" s="1"/>
  <c r="AE22" i="28"/>
  <c r="Z144" i="26"/>
  <c r="Z11" i="30" s="1"/>
  <c r="T130" i="26"/>
  <c r="T131" i="26" s="1"/>
  <c r="T10" i="30" s="1"/>
  <c r="U121" i="26"/>
  <c r="U127" i="26" s="1"/>
  <c r="U120" i="26"/>
  <c r="U126" i="26" s="1"/>
  <c r="U123" i="26"/>
  <c r="U129" i="26" s="1"/>
  <c r="U119" i="26"/>
  <c r="U125" i="26" s="1"/>
  <c r="V94" i="26"/>
  <c r="V95" i="26" s="1"/>
  <c r="V8" i="30" s="1"/>
  <c r="V117" i="26"/>
  <c r="V118" i="26" s="1"/>
  <c r="W47" i="26"/>
  <c r="W50" i="26" s="1"/>
  <c r="W59" i="26" s="1"/>
  <c r="W60" i="26" s="1"/>
  <c r="W93" i="26"/>
  <c r="V60" i="26"/>
  <c r="V100" i="26"/>
  <c r="V105" i="26" s="1"/>
  <c r="V112" i="26" s="1"/>
  <c r="V104" i="26"/>
  <c r="V110" i="26" s="1"/>
  <c r="V103" i="26"/>
  <c r="V109" i="26" s="1"/>
  <c r="V102" i="26"/>
  <c r="V108" i="26" s="1"/>
  <c r="V101" i="26"/>
  <c r="V107" i="26" s="1"/>
  <c r="U113" i="26"/>
  <c r="U114" i="26" s="1"/>
  <c r="U9" i="30" s="1"/>
  <c r="U70" i="26"/>
  <c r="U71" i="26" s="1"/>
  <c r="U6" i="30" s="1"/>
  <c r="V86" i="26"/>
  <c r="V69" i="26"/>
  <c r="W30" i="26"/>
  <c r="W33" i="26" s="1"/>
  <c r="W42" i="26" s="1"/>
  <c r="W43" i="26" s="1"/>
  <c r="W44" i="26" s="1"/>
  <c r="W4" i="30" s="1"/>
  <c r="W99" i="26"/>
  <c r="W66" i="26"/>
  <c r="W68" i="26"/>
  <c r="V83" i="26"/>
  <c r="V67" i="26"/>
  <c r="X18" i="26"/>
  <c r="X14" i="26"/>
  <c r="X31" i="26" s="1"/>
  <c r="X15" i="26"/>
  <c r="X16" i="26"/>
  <c r="X13" i="26"/>
  <c r="X17" i="26"/>
  <c r="X48" i="26" s="1"/>
  <c r="AB1" i="26"/>
  <c r="AC36" i="29" s="1"/>
  <c r="T61" i="27"/>
  <c r="T13" i="30" l="1"/>
  <c r="V87" i="26"/>
  <c r="V88" i="26"/>
  <c r="V84" i="26"/>
  <c r="V85" i="26"/>
  <c r="U89" i="26"/>
  <c r="U90" i="26" s="1"/>
  <c r="U7" i="30" s="1"/>
  <c r="V61" i="26"/>
  <c r="V62" i="26" s="1"/>
  <c r="V5" i="30" s="1"/>
  <c r="W61" i="26"/>
  <c r="W62" i="26" s="1"/>
  <c r="W5" i="30" s="1"/>
  <c r="AE8" i="29"/>
  <c r="AD9" i="29"/>
  <c r="X30" i="28"/>
  <c r="X31" i="28" s="1"/>
  <c r="X33" i="28" s="1"/>
  <c r="Y12" i="30" s="1"/>
  <c r="Z12" i="28"/>
  <c r="Z23" i="28"/>
  <c r="AF22" i="28"/>
  <c r="F14" i="28"/>
  <c r="Y28" i="28"/>
  <c r="Y27" i="28"/>
  <c r="Y29" i="28"/>
  <c r="D51" i="27"/>
  <c r="E45" i="27"/>
  <c r="AA144" i="26"/>
  <c r="AA11" i="30" s="1"/>
  <c r="V123" i="26"/>
  <c r="V129" i="26" s="1"/>
  <c r="V119" i="26"/>
  <c r="V125" i="26" s="1"/>
  <c r="V120" i="26"/>
  <c r="V126" i="26" s="1"/>
  <c r="V121" i="26"/>
  <c r="V127" i="26" s="1"/>
  <c r="W94" i="26"/>
  <c r="W95" i="26" s="1"/>
  <c r="W8" i="30" s="1"/>
  <c r="W117" i="26"/>
  <c r="W118" i="26" s="1"/>
  <c r="U130" i="26"/>
  <c r="U131" i="26" s="1"/>
  <c r="U10" i="30" s="1"/>
  <c r="X47" i="26"/>
  <c r="X93" i="26"/>
  <c r="W100" i="26"/>
  <c r="W105" i="26" s="1"/>
  <c r="W112" i="26" s="1"/>
  <c r="W104" i="26"/>
  <c r="W110" i="26" s="1"/>
  <c r="W103" i="26"/>
  <c r="W109" i="26" s="1"/>
  <c r="W102" i="26"/>
  <c r="W108" i="26" s="1"/>
  <c r="W101" i="26"/>
  <c r="W107" i="26" s="1"/>
  <c r="V113" i="26"/>
  <c r="V114" i="26" s="1"/>
  <c r="V9" i="30" s="1"/>
  <c r="X50" i="26"/>
  <c r="X59" i="26" s="1"/>
  <c r="W86" i="26"/>
  <c r="W69" i="26"/>
  <c r="V70" i="26"/>
  <c r="V71" i="26" s="1"/>
  <c r="V6" i="30" s="1"/>
  <c r="X30" i="26"/>
  <c r="X33" i="26" s="1"/>
  <c r="X42" i="26" s="1"/>
  <c r="X43" i="26" s="1"/>
  <c r="X44" i="26" s="1"/>
  <c r="X4" i="30" s="1"/>
  <c r="X99" i="26"/>
  <c r="X68" i="26"/>
  <c r="X66" i="26"/>
  <c r="W83" i="26"/>
  <c r="W67" i="26"/>
  <c r="Y15" i="26"/>
  <c r="Y16" i="26"/>
  <c r="Y17" i="26"/>
  <c r="Y48" i="26" s="1"/>
  <c r="Y13" i="26"/>
  <c r="Y14" i="26"/>
  <c r="Y31" i="26" s="1"/>
  <c r="Y18" i="26"/>
  <c r="AC1" i="26"/>
  <c r="AD36" i="29" s="1"/>
  <c r="U61" i="27"/>
  <c r="U13" i="30" l="1"/>
  <c r="W84" i="26"/>
  <c r="W85" i="26"/>
  <c r="W87" i="26"/>
  <c r="W88" i="26"/>
  <c r="V89" i="26"/>
  <c r="V90" i="26" s="1"/>
  <c r="V7" i="30" s="1"/>
  <c r="AE9" i="29"/>
  <c r="AF8" i="29"/>
  <c r="F22" i="28"/>
  <c r="Z28" i="28"/>
  <c r="Z27" i="28"/>
  <c r="Z29" i="28"/>
  <c r="Y30" i="28"/>
  <c r="Y31" i="28" s="1"/>
  <c r="Y33" i="28" s="1"/>
  <c r="Z12" i="30" s="1"/>
  <c r="AA12" i="28"/>
  <c r="AA23" i="28"/>
  <c r="AB144" i="26"/>
  <c r="AB11" i="30" s="1"/>
  <c r="W119" i="26"/>
  <c r="W125" i="26" s="1"/>
  <c r="W123" i="26"/>
  <c r="W129" i="26" s="1"/>
  <c r="W121" i="26"/>
  <c r="W127" i="26" s="1"/>
  <c r="W120" i="26"/>
  <c r="W126" i="26" s="1"/>
  <c r="V130" i="26"/>
  <c r="V131" i="26" s="1"/>
  <c r="V10" i="30" s="1"/>
  <c r="X94" i="26"/>
  <c r="X95" i="26" s="1"/>
  <c r="X8" i="30" s="1"/>
  <c r="X117" i="26"/>
  <c r="X118" i="26" s="1"/>
  <c r="Y47" i="26"/>
  <c r="Y50" i="26" s="1"/>
  <c r="Y59" i="26" s="1"/>
  <c r="Y93" i="26"/>
  <c r="X60" i="26"/>
  <c r="X100" i="26"/>
  <c r="X105" i="26" s="1"/>
  <c r="X112" i="26" s="1"/>
  <c r="X104" i="26"/>
  <c r="X110" i="26" s="1"/>
  <c r="X103" i="26"/>
  <c r="X109" i="26" s="1"/>
  <c r="X102" i="26"/>
  <c r="X108" i="26" s="1"/>
  <c r="X101" i="26"/>
  <c r="X107" i="26" s="1"/>
  <c r="W113" i="26"/>
  <c r="W114" i="26" s="1"/>
  <c r="W9" i="30" s="1"/>
  <c r="W70" i="26"/>
  <c r="W71" i="26" s="1"/>
  <c r="W6" i="30" s="1"/>
  <c r="X83" i="26"/>
  <c r="X67" i="26"/>
  <c r="Y30" i="26"/>
  <c r="Y33" i="26" s="1"/>
  <c r="Y42" i="26" s="1"/>
  <c r="Y43" i="26" s="1"/>
  <c r="Y44" i="26" s="1"/>
  <c r="Y4" i="30" s="1"/>
  <c r="Y68" i="26"/>
  <c r="Y99" i="26"/>
  <c r="Y66" i="26"/>
  <c r="X86" i="26"/>
  <c r="X69" i="26"/>
  <c r="Z16" i="26"/>
  <c r="Z17" i="26"/>
  <c r="Z48" i="26" s="1"/>
  <c r="Z18" i="26"/>
  <c r="Z14" i="26"/>
  <c r="Z31" i="26" s="1"/>
  <c r="Z15" i="26"/>
  <c r="Z13" i="26"/>
  <c r="AD1" i="26"/>
  <c r="AE36" i="29" s="1"/>
  <c r="V61" i="27"/>
  <c r="V13" i="30" l="1"/>
  <c r="X87" i="26"/>
  <c r="X88" i="26"/>
  <c r="W89" i="26"/>
  <c r="W90" i="26" s="1"/>
  <c r="W7" i="30" s="1"/>
  <c r="X84" i="26"/>
  <c r="X85" i="26"/>
  <c r="X61" i="26"/>
  <c r="X62" i="26" s="1"/>
  <c r="X5" i="30" s="1"/>
  <c r="AG8" i="29"/>
  <c r="AF9" i="29"/>
  <c r="Z30" i="28"/>
  <c r="Z31" i="28" s="1"/>
  <c r="Z33" i="28" s="1"/>
  <c r="AA12" i="30" s="1"/>
  <c r="AB12" i="28"/>
  <c r="AB23" i="28"/>
  <c r="AA27" i="28"/>
  <c r="AA29" i="28"/>
  <c r="AA28" i="28"/>
  <c r="AC144" i="26"/>
  <c r="AC11" i="30" s="1"/>
  <c r="X120" i="26"/>
  <c r="X126" i="26" s="1"/>
  <c r="X121" i="26"/>
  <c r="X127" i="26" s="1"/>
  <c r="X119" i="26"/>
  <c r="X125" i="26" s="1"/>
  <c r="X123" i="26"/>
  <c r="X129" i="26" s="1"/>
  <c r="Y94" i="26"/>
  <c r="Y95" i="26" s="1"/>
  <c r="Y8" i="30" s="1"/>
  <c r="Y117" i="26"/>
  <c r="Y118" i="26" s="1"/>
  <c r="W130" i="26"/>
  <c r="W131" i="26" s="1"/>
  <c r="W10" i="30" s="1"/>
  <c r="Z47" i="26"/>
  <c r="Z50" i="26" s="1"/>
  <c r="Z59" i="26" s="1"/>
  <c r="Z93" i="26"/>
  <c r="Y60" i="26"/>
  <c r="Y100" i="26"/>
  <c r="Y105" i="26" s="1"/>
  <c r="Y112" i="26" s="1"/>
  <c r="Y104" i="26"/>
  <c r="Y110" i="26" s="1"/>
  <c r="Y103" i="26"/>
  <c r="Y109" i="26" s="1"/>
  <c r="Y102" i="26"/>
  <c r="Y108" i="26" s="1"/>
  <c r="Y101" i="26"/>
  <c r="Y107" i="26" s="1"/>
  <c r="X113" i="26"/>
  <c r="X114" i="26" s="1"/>
  <c r="X9" i="30" s="1"/>
  <c r="X70" i="26"/>
  <c r="X71" i="26" s="1"/>
  <c r="X6" i="30" s="1"/>
  <c r="Z30" i="26"/>
  <c r="Z33" i="26" s="1"/>
  <c r="Z42" i="26" s="1"/>
  <c r="Z43" i="26" s="1"/>
  <c r="Z44" i="26" s="1"/>
  <c r="Z4" i="30" s="1"/>
  <c r="Z66" i="26"/>
  <c r="Z99" i="26"/>
  <c r="Z68" i="26"/>
  <c r="Y86" i="26"/>
  <c r="Y69" i="26"/>
  <c r="Y83" i="26"/>
  <c r="Y67" i="26"/>
  <c r="AA17" i="26"/>
  <c r="AA48" i="26" s="1"/>
  <c r="AA18" i="26"/>
  <c r="AA15" i="26"/>
  <c r="AA14" i="26"/>
  <c r="AA31" i="26" s="1"/>
  <c r="AA13" i="26"/>
  <c r="AA16" i="26"/>
  <c r="AE1" i="26"/>
  <c r="AF36" i="29" s="1"/>
  <c r="W61" i="27"/>
  <c r="AG9" i="29" l="1"/>
  <c r="AH8" i="29"/>
  <c r="W13" i="30"/>
  <c r="Y84" i="26"/>
  <c r="Y85" i="26"/>
  <c r="Y87" i="26"/>
  <c r="Y88" i="26"/>
  <c r="X89" i="26"/>
  <c r="X90" i="26" s="1"/>
  <c r="X7" i="30" s="1"/>
  <c r="Y61" i="26"/>
  <c r="Y62" i="26" s="1"/>
  <c r="Y5" i="30" s="1"/>
  <c r="AI9" i="29"/>
  <c r="AB27" i="28"/>
  <c r="AB29" i="28"/>
  <c r="AB28" i="28"/>
  <c r="AA30" i="28"/>
  <c r="AA31" i="28" s="1"/>
  <c r="AA33" i="28" s="1"/>
  <c r="AB12" i="30" s="1"/>
  <c r="AC12" i="28"/>
  <c r="AC23" i="28"/>
  <c r="E44" i="27"/>
  <c r="E55" i="27" s="1"/>
  <c r="AD144" i="26"/>
  <c r="AD11" i="30" s="1"/>
  <c r="X130" i="26"/>
  <c r="X131" i="26" s="1"/>
  <c r="X10" i="30" s="1"/>
  <c r="Y121" i="26"/>
  <c r="Y127" i="26" s="1"/>
  <c r="Y120" i="26"/>
  <c r="Y126" i="26" s="1"/>
  <c r="Y123" i="26"/>
  <c r="Y129" i="26" s="1"/>
  <c r="Y119" i="26"/>
  <c r="Y125" i="26" s="1"/>
  <c r="Z94" i="26"/>
  <c r="Z95" i="26" s="1"/>
  <c r="Z8" i="30" s="1"/>
  <c r="Z117" i="26"/>
  <c r="Z118" i="26" s="1"/>
  <c r="AA47" i="26"/>
  <c r="AA50" i="26" s="1"/>
  <c r="AA59" i="26" s="1"/>
  <c r="AA93" i="26"/>
  <c r="Z60" i="26"/>
  <c r="Z100" i="26"/>
  <c r="Z105" i="26" s="1"/>
  <c r="Z112" i="26" s="1"/>
  <c r="Z104" i="26"/>
  <c r="Z110" i="26" s="1"/>
  <c r="Z103" i="26"/>
  <c r="Z109" i="26" s="1"/>
  <c r="Z102" i="26"/>
  <c r="Z108" i="26" s="1"/>
  <c r="Z101" i="26"/>
  <c r="Z107" i="26" s="1"/>
  <c r="Y113" i="26"/>
  <c r="Y114" i="26" s="1"/>
  <c r="Y9" i="30" s="1"/>
  <c r="Z86" i="26"/>
  <c r="Z69" i="26"/>
  <c r="Y70" i="26"/>
  <c r="Y71" i="26" s="1"/>
  <c r="Y6" i="30" s="1"/>
  <c r="Z83" i="26"/>
  <c r="Z67" i="26"/>
  <c r="AA30" i="26"/>
  <c r="AA33" i="26" s="1"/>
  <c r="AA42" i="26" s="1"/>
  <c r="AA43" i="26" s="1"/>
  <c r="AA44" i="26" s="1"/>
  <c r="AA4" i="30" s="1"/>
  <c r="AA99" i="26"/>
  <c r="AA68" i="26"/>
  <c r="AA66" i="26"/>
  <c r="AB18" i="26"/>
  <c r="AB14" i="26"/>
  <c r="AB31" i="26" s="1"/>
  <c r="AB15" i="26"/>
  <c r="AB16" i="26"/>
  <c r="AB17" i="26"/>
  <c r="AB48" i="26" s="1"/>
  <c r="AB13" i="26"/>
  <c r="AF1" i="26"/>
  <c r="AG36" i="29" s="1"/>
  <c r="X61" i="27"/>
  <c r="X13" i="30" l="1"/>
  <c r="AH9" i="29"/>
  <c r="AG29" i="28"/>
  <c r="AG28" i="28"/>
  <c r="AG27" i="28"/>
  <c r="Z84" i="26"/>
  <c r="Z85" i="26"/>
  <c r="Y89" i="26"/>
  <c r="Y90" i="26" s="1"/>
  <c r="Y7" i="30" s="1"/>
  <c r="Z87" i="26"/>
  <c r="Z88" i="26"/>
  <c r="Z61" i="26"/>
  <c r="Z62" i="26" s="1"/>
  <c r="Z5" i="30" s="1"/>
  <c r="AB30" i="28"/>
  <c r="AB31" i="28" s="1"/>
  <c r="AB33" i="28" s="1"/>
  <c r="AC12" i="30" s="1"/>
  <c r="AD12" i="28"/>
  <c r="AD23" i="28"/>
  <c r="AC28" i="28"/>
  <c r="AC27" i="28"/>
  <c r="AC29" i="28"/>
  <c r="AE144" i="26"/>
  <c r="AE11" i="30" s="1"/>
  <c r="Z123" i="26"/>
  <c r="Z129" i="26" s="1"/>
  <c r="Z120" i="26"/>
  <c r="Z126" i="26" s="1"/>
  <c r="Z119" i="26"/>
  <c r="Z125" i="26" s="1"/>
  <c r="Z121" i="26"/>
  <c r="Z127" i="26" s="1"/>
  <c r="AA94" i="26"/>
  <c r="AA95" i="26" s="1"/>
  <c r="AA8" i="30" s="1"/>
  <c r="AA117" i="26"/>
  <c r="AA118" i="26" s="1"/>
  <c r="Y130" i="26"/>
  <c r="Y131" i="26" s="1"/>
  <c r="Y10" i="30" s="1"/>
  <c r="AB47" i="26"/>
  <c r="AB50" i="26" s="1"/>
  <c r="AB59" i="26" s="1"/>
  <c r="AB93" i="26"/>
  <c r="AA60" i="26"/>
  <c r="AA100" i="26"/>
  <c r="AA105" i="26" s="1"/>
  <c r="AA112" i="26" s="1"/>
  <c r="AA104" i="26"/>
  <c r="AA110" i="26" s="1"/>
  <c r="AA103" i="26"/>
  <c r="AA109" i="26" s="1"/>
  <c r="AA102" i="26"/>
  <c r="AA108" i="26" s="1"/>
  <c r="AA101" i="26"/>
  <c r="AA107" i="26" s="1"/>
  <c r="Z113" i="26"/>
  <c r="Z114" i="26" s="1"/>
  <c r="Z9" i="30" s="1"/>
  <c r="AA83" i="26"/>
  <c r="AA67" i="26"/>
  <c r="Z70" i="26"/>
  <c r="Z71" i="26" s="1"/>
  <c r="Z6" i="30" s="1"/>
  <c r="AB30" i="26"/>
  <c r="AB33" i="26" s="1"/>
  <c r="AB42" i="26" s="1"/>
  <c r="AB43" i="26" s="1"/>
  <c r="AB44" i="26" s="1"/>
  <c r="AB4" i="30" s="1"/>
  <c r="AB99" i="26"/>
  <c r="AB66" i="26"/>
  <c r="AB68" i="26"/>
  <c r="AA86" i="26"/>
  <c r="AA69" i="26"/>
  <c r="AC15" i="26"/>
  <c r="AC16" i="26"/>
  <c r="AC17" i="26"/>
  <c r="AC48" i="26" s="1"/>
  <c r="AC14" i="26"/>
  <c r="AC31" i="26" s="1"/>
  <c r="AC13" i="26"/>
  <c r="AC18" i="26"/>
  <c r="AG1" i="26"/>
  <c r="Y61" i="27"/>
  <c r="AH36" i="29" l="1"/>
  <c r="AH144" i="26" s="1"/>
  <c r="AH1" i="26"/>
  <c r="AG30" i="28"/>
  <c r="AG31" i="28" s="1"/>
  <c r="AC61" i="27"/>
  <c r="AH16" i="26"/>
  <c r="AH14" i="26"/>
  <c r="AH31" i="26" s="1"/>
  <c r="AH17" i="26"/>
  <c r="AH48" i="26" s="1"/>
  <c r="AH18" i="26"/>
  <c r="AH15" i="26"/>
  <c r="AH13" i="26"/>
  <c r="Z89" i="26"/>
  <c r="Z90" i="26" s="1"/>
  <c r="Z7" i="30" s="1"/>
  <c r="AG12" i="28"/>
  <c r="AG23" i="28"/>
  <c r="Y13" i="30"/>
  <c r="AA84" i="26"/>
  <c r="AA85" i="26"/>
  <c r="AA87" i="26"/>
  <c r="AA88" i="26"/>
  <c r="AA61" i="26"/>
  <c r="AA62" i="26" s="1"/>
  <c r="AA5" i="30" s="1"/>
  <c r="AC30" i="28"/>
  <c r="AC31" i="28" s="1"/>
  <c r="AC33" i="28" s="1"/>
  <c r="AD12" i="30" s="1"/>
  <c r="AD28" i="28"/>
  <c r="AD27" i="28"/>
  <c r="AD29" i="28"/>
  <c r="AE12" i="28"/>
  <c r="AE23" i="28"/>
  <c r="AF12" i="28"/>
  <c r="AF23" i="28"/>
  <c r="AG144" i="26"/>
  <c r="AG11" i="30" s="1"/>
  <c r="AF144" i="26"/>
  <c r="AF11" i="30" s="1"/>
  <c r="Z130" i="26"/>
  <c r="Z131" i="26" s="1"/>
  <c r="Z10" i="30" s="1"/>
  <c r="Z13" i="30" s="1"/>
  <c r="AA119" i="26"/>
  <c r="AA125" i="26" s="1"/>
  <c r="AA123" i="26"/>
  <c r="AA129" i="26" s="1"/>
  <c r="AA121" i="26"/>
  <c r="AA127" i="26" s="1"/>
  <c r="AA120" i="26"/>
  <c r="AA126" i="26" s="1"/>
  <c r="AB94" i="26"/>
  <c r="AB95" i="26" s="1"/>
  <c r="AB8" i="30" s="1"/>
  <c r="AB117" i="26"/>
  <c r="AB118" i="26" s="1"/>
  <c r="AC47" i="26"/>
  <c r="AC50" i="26" s="1"/>
  <c r="AC59" i="26" s="1"/>
  <c r="AC93" i="26"/>
  <c r="AB60" i="26"/>
  <c r="AB100" i="26"/>
  <c r="AB105" i="26" s="1"/>
  <c r="AB112" i="26" s="1"/>
  <c r="AB104" i="26"/>
  <c r="AB110" i="26" s="1"/>
  <c r="AB103" i="26"/>
  <c r="AB109" i="26" s="1"/>
  <c r="AB102" i="26"/>
  <c r="AB108" i="26" s="1"/>
  <c r="AB101" i="26"/>
  <c r="AB107" i="26" s="1"/>
  <c r="AA113" i="26"/>
  <c r="AA114" i="26" s="1"/>
  <c r="AA9" i="30" s="1"/>
  <c r="AA70" i="26"/>
  <c r="AA71" i="26" s="1"/>
  <c r="AA6" i="30" s="1"/>
  <c r="AB86" i="26"/>
  <c r="AB69" i="26"/>
  <c r="AB83" i="26"/>
  <c r="AB67" i="26"/>
  <c r="AC30" i="26"/>
  <c r="AC33" i="26" s="1"/>
  <c r="AC42" i="26" s="1"/>
  <c r="AC43" i="26" s="1"/>
  <c r="AC44" i="26" s="1"/>
  <c r="AC4" i="30" s="1"/>
  <c r="AC66" i="26"/>
  <c r="AC68" i="26"/>
  <c r="AC99" i="26"/>
  <c r="AD16" i="26"/>
  <c r="AD17" i="26"/>
  <c r="AD48" i="26" s="1"/>
  <c r="AD18" i="26"/>
  <c r="AD14" i="26"/>
  <c r="AD31" i="26" s="1"/>
  <c r="AD13" i="26"/>
  <c r="AD15" i="26"/>
  <c r="Z61" i="27"/>
  <c r="AH47" i="26" l="1"/>
  <c r="AH50" i="26" s="1"/>
  <c r="AH59" i="26" s="1"/>
  <c r="AH93" i="26"/>
  <c r="AH30" i="26"/>
  <c r="AH33" i="26" s="1"/>
  <c r="AH42" i="26" s="1"/>
  <c r="AH66" i="26"/>
  <c r="AH68" i="26"/>
  <c r="AH99" i="26"/>
  <c r="AH11" i="30"/>
  <c r="G144" i="26"/>
  <c r="G11" i="30" s="1"/>
  <c r="AG33" i="28"/>
  <c r="AH12" i="30" s="1"/>
  <c r="AA89" i="26"/>
  <c r="AA90" i="26" s="1"/>
  <c r="AA7" i="30" s="1"/>
  <c r="AB87" i="26"/>
  <c r="AB88" i="26"/>
  <c r="AB84" i="26"/>
  <c r="AB85" i="26"/>
  <c r="AB61" i="26"/>
  <c r="AB62" i="26" s="1"/>
  <c r="AB5" i="30" s="1"/>
  <c r="F12" i="28"/>
  <c r="AD30" i="28"/>
  <c r="AD31" i="28" s="1"/>
  <c r="AD33" i="28" s="1"/>
  <c r="AE12" i="30" s="1"/>
  <c r="F23" i="28"/>
  <c r="AE27" i="28"/>
  <c r="AE29" i="28"/>
  <c r="AE28" i="28"/>
  <c r="AB120" i="26"/>
  <c r="AB126" i="26" s="1"/>
  <c r="AB123" i="26"/>
  <c r="AB129" i="26" s="1"/>
  <c r="AB119" i="26"/>
  <c r="AB125" i="26" s="1"/>
  <c r="AB121" i="26"/>
  <c r="AB127" i="26" s="1"/>
  <c r="AA130" i="26"/>
  <c r="AA131" i="26" s="1"/>
  <c r="AA10" i="30" s="1"/>
  <c r="AC94" i="26"/>
  <c r="AC95" i="26" s="1"/>
  <c r="AC8" i="30" s="1"/>
  <c r="AC117" i="26"/>
  <c r="AC118" i="26" s="1"/>
  <c r="AD47" i="26"/>
  <c r="AD50" i="26" s="1"/>
  <c r="AD59" i="26" s="1"/>
  <c r="AD93" i="26"/>
  <c r="AC60" i="26"/>
  <c r="AB113" i="26"/>
  <c r="AB114" i="26" s="1"/>
  <c r="AB9" i="30" s="1"/>
  <c r="AC100" i="26"/>
  <c r="AC105" i="26" s="1"/>
  <c r="AC112" i="26" s="1"/>
  <c r="AC104" i="26"/>
  <c r="AC110" i="26" s="1"/>
  <c r="AC103" i="26"/>
  <c r="AC109" i="26" s="1"/>
  <c r="AC102" i="26"/>
  <c r="AC108" i="26" s="1"/>
  <c r="AC101" i="26"/>
  <c r="AC107" i="26" s="1"/>
  <c r="AC86" i="26"/>
  <c r="AC69" i="26"/>
  <c r="AC83" i="26"/>
  <c r="AC67" i="26"/>
  <c r="AB70" i="26"/>
  <c r="AB71" i="26" s="1"/>
  <c r="AB6" i="30" s="1"/>
  <c r="AD30" i="26"/>
  <c r="AD33" i="26" s="1"/>
  <c r="AD42" i="26" s="1"/>
  <c r="AD43" i="26" s="1"/>
  <c r="AD44" i="26" s="1"/>
  <c r="AD4" i="30" s="1"/>
  <c r="AD68" i="26"/>
  <c r="AD99" i="26"/>
  <c r="AD66" i="26"/>
  <c r="AE17" i="26"/>
  <c r="AE48" i="26" s="1"/>
  <c r="AE13" i="26"/>
  <c r="AE18" i="26"/>
  <c r="AE15" i="26"/>
  <c r="AE16" i="26"/>
  <c r="AE14" i="26"/>
  <c r="AE31" i="26" s="1"/>
  <c r="AA61" i="27"/>
  <c r="AH43" i="26" l="1"/>
  <c r="AH100" i="26"/>
  <c r="AH105" i="26" s="1"/>
  <c r="AH102" i="26"/>
  <c r="AH101" i="26"/>
  <c r="AH103" i="26"/>
  <c r="AH104" i="26"/>
  <c r="AH69" i="26"/>
  <c r="AH86" i="26"/>
  <c r="AH67" i="26"/>
  <c r="AH83" i="26"/>
  <c r="AH117" i="26"/>
  <c r="AH118" i="26" s="1"/>
  <c r="AH94" i="26"/>
  <c r="AH60" i="26"/>
  <c r="AA13" i="30"/>
  <c r="AC84" i="26"/>
  <c r="AC85" i="26"/>
  <c r="AC87" i="26"/>
  <c r="AC88" i="26"/>
  <c r="AB89" i="26"/>
  <c r="AB90" i="26" s="1"/>
  <c r="AB7" i="30" s="1"/>
  <c r="AC61" i="26"/>
  <c r="AC62" i="26" s="1"/>
  <c r="AC5" i="30" s="1"/>
  <c r="AE30" i="28"/>
  <c r="AE31" i="28" s="1"/>
  <c r="AE33" i="28" s="1"/>
  <c r="AF12" i="30" s="1"/>
  <c r="AF27" i="28"/>
  <c r="AF29" i="28"/>
  <c r="F29" i="28" s="1"/>
  <c r="D54" i="27" s="1"/>
  <c r="AF28" i="28"/>
  <c r="F28" i="28" s="1"/>
  <c r="D53" i="27" s="1"/>
  <c r="E56" i="27"/>
  <c r="E40" i="27"/>
  <c r="AG17" i="26"/>
  <c r="AG48" i="26" s="1"/>
  <c r="AC121" i="26"/>
  <c r="AC127" i="26" s="1"/>
  <c r="AC120" i="26"/>
  <c r="AC126" i="26" s="1"/>
  <c r="AC123" i="26"/>
  <c r="AC129" i="26" s="1"/>
  <c r="AC119" i="26"/>
  <c r="AC125" i="26" s="1"/>
  <c r="AB130" i="26"/>
  <c r="AB131" i="26" s="1"/>
  <c r="AB10" i="30" s="1"/>
  <c r="AD94" i="26"/>
  <c r="AD95" i="26" s="1"/>
  <c r="AD8" i="30" s="1"/>
  <c r="AD117" i="26"/>
  <c r="AD118" i="26" s="1"/>
  <c r="AE47" i="26"/>
  <c r="AE50" i="26" s="1"/>
  <c r="AE59" i="26" s="1"/>
  <c r="AE60" i="26" s="1"/>
  <c r="AE93" i="26"/>
  <c r="AD60" i="26"/>
  <c r="AD100" i="26"/>
  <c r="AD105" i="26" s="1"/>
  <c r="AD112" i="26" s="1"/>
  <c r="AD104" i="26"/>
  <c r="AD110" i="26" s="1"/>
  <c r="AD103" i="26"/>
  <c r="AD109" i="26" s="1"/>
  <c r="AD102" i="26"/>
  <c r="AD108" i="26" s="1"/>
  <c r="AD101" i="26"/>
  <c r="AD107" i="26" s="1"/>
  <c r="AC113" i="26"/>
  <c r="AC114" i="26" s="1"/>
  <c r="AC9" i="30" s="1"/>
  <c r="AE30" i="26"/>
  <c r="AE33" i="26" s="1"/>
  <c r="AE42" i="26" s="1"/>
  <c r="AE68" i="26"/>
  <c r="AE66" i="26"/>
  <c r="AE99" i="26"/>
  <c r="AD86" i="26"/>
  <c r="AD69" i="26"/>
  <c r="AC70" i="26"/>
  <c r="AC71" i="26" s="1"/>
  <c r="AC6" i="30" s="1"/>
  <c r="AD83" i="26"/>
  <c r="AD67" i="26"/>
  <c r="AF18" i="26"/>
  <c r="AF14" i="26"/>
  <c r="AF31" i="26" s="1"/>
  <c r="AF15" i="26"/>
  <c r="AF16" i="26"/>
  <c r="AF13" i="26"/>
  <c r="AF17" i="26"/>
  <c r="AF48" i="26" s="1"/>
  <c r="AB13" i="30" l="1"/>
  <c r="AE43" i="26"/>
  <c r="AE44" i="26" s="1"/>
  <c r="AE4" i="30" s="1"/>
  <c r="AH88" i="26"/>
  <c r="AH87" i="26"/>
  <c r="AH70" i="26"/>
  <c r="AH110" i="26"/>
  <c r="AH109" i="26"/>
  <c r="AH61" i="26"/>
  <c r="AH95" i="26"/>
  <c r="AH107" i="26"/>
  <c r="AH123" i="26"/>
  <c r="AH119" i="26"/>
  <c r="AH121" i="26"/>
  <c r="AH120" i="26"/>
  <c r="AH108" i="26"/>
  <c r="AH84" i="26"/>
  <c r="AH85" i="26"/>
  <c r="AH112" i="26"/>
  <c r="AH44" i="26"/>
  <c r="AC89" i="26"/>
  <c r="AC90" i="26" s="1"/>
  <c r="AC7" i="30" s="1"/>
  <c r="AD87" i="26"/>
  <c r="AD88" i="26"/>
  <c r="AD84" i="26"/>
  <c r="AD85" i="26"/>
  <c r="AD61" i="26"/>
  <c r="AD62" i="26" s="1"/>
  <c r="AD5" i="30" s="1"/>
  <c r="AE61" i="26"/>
  <c r="AE62" i="26" s="1"/>
  <c r="AE5" i="30" s="1"/>
  <c r="F27" i="28"/>
  <c r="D52" i="27" s="1"/>
  <c r="D55" i="27" s="1"/>
  <c r="AF30" i="28"/>
  <c r="AB61" i="27"/>
  <c r="AG14" i="26"/>
  <c r="AG31" i="26" s="1"/>
  <c r="AG16" i="26"/>
  <c r="AG47" i="26" s="1"/>
  <c r="AG50" i="26" s="1"/>
  <c r="AG59" i="26" s="1"/>
  <c r="AG18" i="26"/>
  <c r="AG15" i="26"/>
  <c r="AG13" i="26"/>
  <c r="AG30" i="26" s="1"/>
  <c r="AC130" i="26"/>
  <c r="AC131" i="26" s="1"/>
  <c r="AC10" i="30" s="1"/>
  <c r="AD123" i="26"/>
  <c r="AD129" i="26" s="1"/>
  <c r="AD121" i="26"/>
  <c r="AD127" i="26" s="1"/>
  <c r="AD120" i="26"/>
  <c r="AD126" i="26" s="1"/>
  <c r="AD119" i="26"/>
  <c r="AD125" i="26" s="1"/>
  <c r="AE94" i="26"/>
  <c r="AE95" i="26" s="1"/>
  <c r="AE8" i="30" s="1"/>
  <c r="AE117" i="26"/>
  <c r="AE118" i="26" s="1"/>
  <c r="AF47" i="26"/>
  <c r="AF50" i="26" s="1"/>
  <c r="AF59" i="26" s="1"/>
  <c r="AF93" i="26"/>
  <c r="AE100" i="26"/>
  <c r="AE105" i="26" s="1"/>
  <c r="AE112" i="26" s="1"/>
  <c r="AE104" i="26"/>
  <c r="AE110" i="26" s="1"/>
  <c r="AE103" i="26"/>
  <c r="AE109" i="26" s="1"/>
  <c r="AE102" i="26"/>
  <c r="AE108" i="26" s="1"/>
  <c r="AE101" i="26"/>
  <c r="AE107" i="26" s="1"/>
  <c r="AD113" i="26"/>
  <c r="AD114" i="26" s="1"/>
  <c r="AD9" i="30" s="1"/>
  <c r="AD70" i="26"/>
  <c r="AD71" i="26" s="1"/>
  <c r="AD6" i="30" s="1"/>
  <c r="AF30" i="26"/>
  <c r="AF33" i="26" s="1"/>
  <c r="AF42" i="26" s="1"/>
  <c r="AF43" i="26" s="1"/>
  <c r="AF44" i="26" s="1"/>
  <c r="AF4" i="30" s="1"/>
  <c r="AF99" i="26"/>
  <c r="AF66" i="26"/>
  <c r="AF68" i="26"/>
  <c r="AE83" i="26"/>
  <c r="AE67" i="26"/>
  <c r="AE86" i="26"/>
  <c r="AE69" i="26"/>
  <c r="AH89" i="26" l="1"/>
  <c r="AG33" i="26"/>
  <c r="AG42" i="26" s="1"/>
  <c r="G59" i="26"/>
  <c r="AH8" i="30"/>
  <c r="AH127" i="26"/>
  <c r="AH125" i="26"/>
  <c r="AH113" i="26"/>
  <c r="AH114" i="26" s="1"/>
  <c r="AH9" i="30" s="1"/>
  <c r="AH4" i="30"/>
  <c r="AH129" i="26"/>
  <c r="AH71" i="26"/>
  <c r="AH90" i="26"/>
  <c r="AH126" i="26"/>
  <c r="AH62" i="26"/>
  <c r="G42" i="26"/>
  <c r="AC13" i="30"/>
  <c r="AE87" i="26"/>
  <c r="AE88" i="26"/>
  <c r="AD89" i="26"/>
  <c r="AD90" i="26" s="1"/>
  <c r="AD7" i="30" s="1"/>
  <c r="AE84" i="26"/>
  <c r="AE85" i="26"/>
  <c r="AF31" i="28"/>
  <c r="F30" i="28"/>
  <c r="AG93" i="26"/>
  <c r="AG94" i="26" s="1"/>
  <c r="AG66" i="26"/>
  <c r="AG83" i="26" s="1"/>
  <c r="AG99" i="26"/>
  <c r="AG103" i="26" s="1"/>
  <c r="AG68" i="26"/>
  <c r="AG86" i="26" s="1"/>
  <c r="AD130" i="26"/>
  <c r="AD131" i="26" s="1"/>
  <c r="AD10" i="30" s="1"/>
  <c r="AF94" i="26"/>
  <c r="AF95" i="26" s="1"/>
  <c r="AF8" i="30" s="1"/>
  <c r="AF117" i="26"/>
  <c r="AF118" i="26" s="1"/>
  <c r="AE119" i="26"/>
  <c r="AE125" i="26" s="1"/>
  <c r="AE120" i="26"/>
  <c r="AE126" i="26" s="1"/>
  <c r="AE123" i="26"/>
  <c r="AE129" i="26" s="1"/>
  <c r="AE121" i="26"/>
  <c r="AE127" i="26" s="1"/>
  <c r="AF60" i="26"/>
  <c r="AG60" i="26"/>
  <c r="AG61" i="26" s="1"/>
  <c r="AE113" i="26"/>
  <c r="AE114" i="26" s="1"/>
  <c r="AE9" i="30" s="1"/>
  <c r="AF100" i="26"/>
  <c r="AF105" i="26" s="1"/>
  <c r="AF112" i="26" s="1"/>
  <c r="AF104" i="26"/>
  <c r="AF103" i="26"/>
  <c r="AF102" i="26"/>
  <c r="AF108" i="26" s="1"/>
  <c r="AF101" i="26"/>
  <c r="AF107" i="26" s="1"/>
  <c r="AE70" i="26"/>
  <c r="AE71" i="26" s="1"/>
  <c r="AE6" i="30" s="1"/>
  <c r="AF86" i="26"/>
  <c r="AF69" i="26"/>
  <c r="AF83" i="26"/>
  <c r="AF67" i="26"/>
  <c r="AG43" i="26"/>
  <c r="G43" i="26" s="1"/>
  <c r="I3" i="27"/>
  <c r="G60" i="26" l="1"/>
  <c r="AF109" i="26"/>
  <c r="G103" i="26"/>
  <c r="AF110" i="26"/>
  <c r="AH7" i="30"/>
  <c r="AH6" i="30"/>
  <c r="AH130" i="26"/>
  <c r="AH131" i="26" s="1"/>
  <c r="AH5" i="30"/>
  <c r="G94" i="26"/>
  <c r="AG101" i="26"/>
  <c r="G101" i="26" s="1"/>
  <c r="AD13" i="30"/>
  <c r="AG87" i="26"/>
  <c r="AG88" i="26"/>
  <c r="AF87" i="26"/>
  <c r="AF88" i="26"/>
  <c r="AG84" i="26"/>
  <c r="AG85" i="26"/>
  <c r="AF84" i="26"/>
  <c r="AF85" i="26"/>
  <c r="AE89" i="26"/>
  <c r="AE90" i="26" s="1"/>
  <c r="AE7" i="30" s="1"/>
  <c r="AF61" i="26"/>
  <c r="F31" i="28"/>
  <c r="F33" i="28" s="1"/>
  <c r="AF33" i="28"/>
  <c r="AG12" i="30" s="1"/>
  <c r="AG67" i="26"/>
  <c r="AG95" i="26"/>
  <c r="G95" i="26" s="1"/>
  <c r="AG107" i="26"/>
  <c r="G107" i="26" s="1"/>
  <c r="AG109" i="26"/>
  <c r="AG104" i="26"/>
  <c r="G104" i="26" s="1"/>
  <c r="AG100" i="26"/>
  <c r="AG105" i="26" s="1"/>
  <c r="G105" i="26" s="1"/>
  <c r="AG117" i="26"/>
  <c r="AG118" i="26" s="1"/>
  <c r="AG121" i="26" s="1"/>
  <c r="AG102" i="26"/>
  <c r="G102" i="26" s="1"/>
  <c r="AG69" i="26"/>
  <c r="AF120" i="26"/>
  <c r="AF126" i="26" s="1"/>
  <c r="AF123" i="26"/>
  <c r="AF129" i="26" s="1"/>
  <c r="AF119" i="26"/>
  <c r="AF125" i="26" s="1"/>
  <c r="AF121" i="26"/>
  <c r="AF127" i="26" s="1"/>
  <c r="AE130" i="26"/>
  <c r="AE131" i="26" s="1"/>
  <c r="AE10" i="30" s="1"/>
  <c r="AE13" i="30" s="1"/>
  <c r="I7" i="27"/>
  <c r="J7" i="27" s="1"/>
  <c r="AG62" i="26"/>
  <c r="AF113" i="26"/>
  <c r="AF114" i="26" s="1"/>
  <c r="AF9" i="30" s="1"/>
  <c r="AF70" i="26"/>
  <c r="AF71" i="26" s="1"/>
  <c r="AF6" i="30" s="1"/>
  <c r="AG44" i="26"/>
  <c r="G44" i="26" s="1"/>
  <c r="G4" i="30" s="1"/>
  <c r="I4" i="27"/>
  <c r="AF62" i="26" l="1"/>
  <c r="G61" i="26"/>
  <c r="G121" i="26"/>
  <c r="G109" i="26"/>
  <c r="E16" i="27" s="1"/>
  <c r="AH10" i="30"/>
  <c r="AH13" i="30" s="1"/>
  <c r="I8" i="27"/>
  <c r="AF89" i="26"/>
  <c r="AG89" i="26"/>
  <c r="AG90" i="26" s="1"/>
  <c r="AG7" i="30" s="1"/>
  <c r="AG5" i="30"/>
  <c r="G8" i="30"/>
  <c r="AG8" i="30"/>
  <c r="AG4" i="30"/>
  <c r="AG70" i="26"/>
  <c r="G70" i="26" s="1"/>
  <c r="G12" i="30"/>
  <c r="I16" i="27" s="1"/>
  <c r="D56" i="27"/>
  <c r="E57" i="27" s="1"/>
  <c r="D14" i="27"/>
  <c r="AG110" i="26"/>
  <c r="E14" i="27"/>
  <c r="AG108" i="26"/>
  <c r="G108" i="26" s="1"/>
  <c r="D16" i="27"/>
  <c r="AG112" i="26"/>
  <c r="AG127" i="26"/>
  <c r="D26" i="27"/>
  <c r="AG120" i="26"/>
  <c r="G120" i="26" s="1"/>
  <c r="AG123" i="26"/>
  <c r="G123" i="26" s="1"/>
  <c r="AG119" i="26"/>
  <c r="G119" i="26" s="1"/>
  <c r="AF130" i="26"/>
  <c r="AF131" i="26" s="1"/>
  <c r="AF10" i="30" s="1"/>
  <c r="G127" i="26" l="1"/>
  <c r="E26" i="27" s="1"/>
  <c r="AF5" i="30"/>
  <c r="G62" i="26"/>
  <c r="I9" i="27" s="1"/>
  <c r="G112" i="26"/>
  <c r="E18" i="27" s="1"/>
  <c r="AF90" i="26"/>
  <c r="G89" i="26"/>
  <c r="G110" i="26"/>
  <c r="E17" i="27" s="1"/>
  <c r="I5" i="27"/>
  <c r="AG71" i="26"/>
  <c r="G71" i="26" s="1"/>
  <c r="D18" i="27"/>
  <c r="D15" i="27"/>
  <c r="AG125" i="26"/>
  <c r="G125" i="26" s="1"/>
  <c r="AG113" i="26"/>
  <c r="AG114" i="26" s="1"/>
  <c r="AG9" i="30" s="1"/>
  <c r="AG129" i="26"/>
  <c r="G129" i="26" s="1"/>
  <c r="D28" i="27"/>
  <c r="D6" i="27"/>
  <c r="E6" i="27" s="1"/>
  <c r="D17" i="27"/>
  <c r="D7" i="27"/>
  <c r="E7" i="27" s="1"/>
  <c r="AG126" i="26"/>
  <c r="D25" i="27"/>
  <c r="G126" i="26" l="1"/>
  <c r="E25" i="27" s="1"/>
  <c r="G5" i="30"/>
  <c r="I20" i="27" s="1"/>
  <c r="AF7" i="30"/>
  <c r="AF13" i="30" s="1"/>
  <c r="G90" i="26"/>
  <c r="G7" i="30" s="1"/>
  <c r="I18" i="27" s="1"/>
  <c r="D5" i="27"/>
  <c r="E5" i="27" s="1"/>
  <c r="G6" i="30"/>
  <c r="I19" i="27" s="1"/>
  <c r="AG6" i="30"/>
  <c r="AG130" i="26"/>
  <c r="AG131" i="26" s="1"/>
  <c r="G131" i="26" s="1"/>
  <c r="G114" i="26"/>
  <c r="G9" i="30" s="1"/>
  <c r="E15" i="27"/>
  <c r="E19" i="27" s="1"/>
  <c r="G113" i="26"/>
  <c r="E28" i="27"/>
  <c r="E8" i="27"/>
  <c r="D24" i="27"/>
  <c r="D4" i="27"/>
  <c r="E4" i="27" s="1"/>
  <c r="D8" i="27"/>
  <c r="E24" i="27"/>
  <c r="G10" i="30" l="1"/>
  <c r="G13" i="30" s="1"/>
  <c r="AG10" i="30"/>
  <c r="AG13" i="30" s="1"/>
  <c r="E29" i="27"/>
  <c r="E9" i="27"/>
  <c r="E20" i="27"/>
  <c r="G130" i="26"/>
  <c r="I17" i="27" l="1"/>
  <c r="E10" i="27"/>
  <c r="G19" i="30"/>
  <c r="G20" i="30"/>
  <c r="I14" i="27" s="1"/>
  <c r="E30" i="27"/>
</calcChain>
</file>

<file path=xl/sharedStrings.xml><?xml version="1.0" encoding="utf-8"?>
<sst xmlns="http://schemas.openxmlformats.org/spreadsheetml/2006/main" count="1071" uniqueCount="532">
  <si>
    <t xml:space="preserve">Summary: </t>
  </si>
  <si>
    <t xml:space="preserve">Benefits: </t>
  </si>
  <si>
    <t>On-Dock Rail Improvements</t>
  </si>
  <si>
    <t>BASELINE</t>
  </si>
  <si>
    <t>Category</t>
  </si>
  <si>
    <t>Value</t>
  </si>
  <si>
    <t>Units</t>
  </si>
  <si>
    <t>Notes</t>
  </si>
  <si>
    <t>Source</t>
  </si>
  <si>
    <t>TEU</t>
  </si>
  <si>
    <t>SEATAC</t>
  </si>
  <si>
    <t>Import</t>
  </si>
  <si>
    <t>Export</t>
  </si>
  <si>
    <t>Empty</t>
  </si>
  <si>
    <t>Total Loaded</t>
  </si>
  <si>
    <t>Grand Total</t>
  </si>
  <si>
    <t>Import share of total</t>
  </si>
  <si>
    <t>Export share of total</t>
  </si>
  <si>
    <t>Empty share of total</t>
  </si>
  <si>
    <t>Total</t>
  </si>
  <si>
    <t>Mercator</t>
  </si>
  <si>
    <t>Import - Local</t>
  </si>
  <si>
    <t>Import - Intermodal</t>
  </si>
  <si>
    <t>TEUs (1000)</t>
  </si>
  <si>
    <t xml:space="preserve"> Pct Shares</t>
  </si>
  <si>
    <t>% Import - Loaded</t>
  </si>
  <si>
    <t xml:space="preserve">% Export - Loaded </t>
  </si>
  <si>
    <t>% Empty</t>
  </si>
  <si>
    <t>%</t>
  </si>
  <si>
    <t>Cargo Data</t>
  </si>
  <si>
    <t>Truck Costs</t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</si>
  <si>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Motor Carrier Costs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</si>
  <si>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2009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</si>
  <si>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</si>
  <si>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</si>
  <si>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</si>
  <si>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</si>
  <si>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</si>
  <si>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</si>
  <si>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</si>
  <si>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2017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</si>
  <si>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2"/>
        <color indexed="8"/>
        <rFont val="Calibri"/>
        <family val="2"/>
        <scheme val="minor"/>
      </rPr>
      <t xml:space="preserve">Vehicle-based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</si>
  <si>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Fuel Costs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</si>
  <si>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$0.405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</si>
  <si>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$0.486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</si>
  <si>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$0.590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</si>
  <si>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$0.641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</si>
  <si>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$0.645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</si>
  <si>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$0.583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</si>
  <si>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</si>
  <si>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$0.336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</si>
  <si>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Truck/Trailer Lease or Purchase  Payments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</si>
  <si>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$0.257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</si>
  <si>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$0.184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</si>
  <si>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$0.189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</si>
  <si>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$0.174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</si>
  <si>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</si>
  <si>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$0.215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</si>
  <si>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$0.230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</si>
  <si>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$0.255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</si>
  <si>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Repair &amp; Maintenance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</si>
  <si>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</si>
  <si>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</si>
  <si>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</si>
  <si>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</si>
  <si>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$0.148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</si>
  <si>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</si>
  <si>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</si>
  <si>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</si>
  <si>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Truck Insurance Premiums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</si>
  <si>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$0.054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</si>
  <si>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$0.059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</si>
  <si>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</si>
  <si>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</si>
  <si>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$0.064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</si>
  <si>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</si>
  <si>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</si>
  <si>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$0.075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</si>
  <si>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Permits and Licenses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</si>
  <si>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</si>
  <si>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</si>
  <si>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$0.038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</si>
  <si>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</si>
  <si>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</si>
  <si>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</si>
  <si>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Tires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</si>
  <si>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$0.035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</si>
  <si>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</si>
  <si>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</si>
  <si>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</si>
  <si>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$0.043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</si>
  <si>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Tolls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</si>
  <si>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$0.024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</si>
  <si>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</si>
  <si>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</si>
  <si>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</si>
  <si>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$0.020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</si>
  <si>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i/>
        <sz val="12"/>
        <color indexed="8"/>
        <rFont val="Calibri"/>
        <family val="2"/>
        <scheme val="minor"/>
      </rPr>
      <t>Driver-based</t>
    </r>
    <r>
      <rPr>
        <sz val="12"/>
        <color indexed="8"/>
        <rFont val="Calibri"/>
        <family val="2"/>
        <scheme val="minor"/>
      </rPr>
      <t xml:space="preserve"> </t>
    </r>
    <r>
      <rPr>
        <i/>
        <sz val="12"/>
        <color indexed="8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</si>
  <si>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Driver Wages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</si>
  <si>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$0.446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</si>
  <si>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$0.460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</si>
  <si>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$0.417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</si>
  <si>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$0.440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</si>
  <si>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$0.462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</si>
  <si>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$0.499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</si>
  <si>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$0.523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</si>
  <si>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 Driver Benefits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</si>
  <si>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</si>
  <si>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$0.162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</si>
  <si>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</si>
  <si>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$0.116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</si>
  <si>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$0.129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</si>
  <si>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$0.131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</si>
  <si>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$0.155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</si>
  <si>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TOTAL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</si>
  <si>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$1.451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</si>
  <si>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$1.548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</si>
  <si>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$1.706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</si>
  <si>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$1.633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</si>
  <si>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$1.676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</si>
  <si>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$1.703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</si>
  <si>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$1.575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</si>
  <si>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b/>
        <sz val="12"/>
        <color indexed="8"/>
        <rFont val="Calibri"/>
        <family val="2"/>
        <scheme val="minor"/>
      </rPr>
      <t xml:space="preserve">$1.592 </t>
    </r>
    <r>
      <rPr>
        <sz val="11"/>
        <rFont val="Calibri"/>
        <family val="2"/>
        <scheme val="minor"/>
      </rPr>
      <t xml:space="preserve"> </t>
    </r>
  </si>
  <si>
    <t>https://atri-online.org/wp-content/uploads/2018/10/ATRI-Operational-Costs-of-Trucking-2018.pdf</t>
  </si>
  <si>
    <t>Rail Costs</t>
  </si>
  <si>
    <t>$/mile</t>
  </si>
  <si>
    <t>Cost from prior analysis - based on US Rail Desktop, completed using 2016 data</t>
  </si>
  <si>
    <t>Cost per mile</t>
  </si>
  <si>
    <t>Cost per ton-mile</t>
  </si>
  <si>
    <t>$/ton-mile</t>
  </si>
  <si>
    <t>Calculate $/ton-mile?</t>
  </si>
  <si>
    <t>https://www.bts.gov/content/average-freight-revenue-ton-mile</t>
  </si>
  <si>
    <t>Rail transportation cost index</t>
  </si>
  <si>
    <t>Estimated Rail Transportation Cost</t>
  </si>
  <si>
    <t>Does this make any sense? Is this per ton? Not per train. I THINK THIS IS WRONG. USE TON MILES INSTEAD.</t>
  </si>
  <si>
    <t xml:space="preserve"> --&gt; LOOKS like they just multiplied their $/mile for trucks estimate by 18%. Oops!</t>
  </si>
  <si>
    <t>Project</t>
  </si>
  <si>
    <t>TOTAL</t>
  </si>
  <si>
    <t xml:space="preserve">Truck shipping cost </t>
  </si>
  <si>
    <t xml:space="preserve">  </t>
  </si>
  <si>
    <t>miles</t>
  </si>
  <si>
    <t>Truck usage costs $/mile</t>
  </si>
  <si>
    <t xml:space="preserve">   pavement, urban</t>
  </si>
  <si>
    <t xml:space="preserve">   congestion, urban</t>
  </si>
  <si>
    <t xml:space="preserve">   air pollution, urban</t>
  </si>
  <si>
    <t xml:space="preserve">   noise, urban</t>
  </si>
  <si>
    <t xml:space="preserve">   pavement, rural</t>
  </si>
  <si>
    <t xml:space="preserve">   congestion, rural</t>
  </si>
  <si>
    <t xml:space="preserve">   air pollution, rural</t>
  </si>
  <si>
    <t xml:space="preserve">   noise, rural</t>
  </si>
  <si>
    <t>% distance urban</t>
  </si>
  <si>
    <t>% distance rural</t>
  </si>
  <si>
    <t>Fuel Economy, combination truck, 2015 data</t>
  </si>
  <si>
    <t>miles/gallon</t>
  </si>
  <si>
    <t>https://www.bts.gov/content/combination-truck-fuel-consumption-and-travel</t>
  </si>
  <si>
    <t>Table 4-14</t>
  </si>
  <si>
    <t>Truck</t>
  </si>
  <si>
    <t>Train</t>
  </si>
  <si>
    <t>y</t>
  </si>
  <si>
    <t>Table 4-25: Energy Intensity of Class I Railroad Freight Service</t>
  </si>
  <si>
    <t>Rail Fuel</t>
  </si>
  <si>
    <t>Revenue freight ton-miles (millions)</t>
  </si>
  <si>
    <t>Car-miles (millions)</t>
  </si>
  <si>
    <t>Tons per car load</t>
  </si>
  <si>
    <t>Fuel consumed (million gallons)</t>
  </si>
  <si>
    <t>Energy intensity (Btu/revenue freight ton-mile)</t>
  </si>
  <si>
    <t>Energy intensity (Btu/car-mile)</t>
  </si>
  <si>
    <t>KEY: Btu = British thermal unit.</t>
  </si>
  <si>
    <t>a The threshold for classification as a Class I Railroad is based on operating revenues; the 2015 threshold is $457.91 million.</t>
  </si>
  <si>
    <t>NOTE</t>
  </si>
  <si>
    <t xml:space="preserve">   Multiplier</t>
  </si>
  <si>
    <t>$</t>
  </si>
  <si>
    <t>(or 640?) plugs for containers</t>
  </si>
  <si>
    <t>Existing plugs</t>
  </si>
  <si>
    <t>N/A</t>
  </si>
  <si>
    <t>Net Present Value</t>
  </si>
  <si>
    <t>Total Benefit</t>
  </si>
  <si>
    <t>Benefits and costs</t>
  </si>
  <si>
    <t>Monetized</t>
  </si>
  <si>
    <t>Based on other metrics</t>
  </si>
  <si>
    <t>Qualitative</t>
  </si>
  <si>
    <t>Linking project components to benefits</t>
  </si>
  <si>
    <t>Surfacing, Paving, reinforcement</t>
  </si>
  <si>
    <t>Stormwater Treatment</t>
  </si>
  <si>
    <t>Upsizing Electric Reefer Plug Capacity to 1400</t>
  </si>
  <si>
    <t>Access Improvements &amp; ITS Upgrades</t>
  </si>
  <si>
    <t>Cargo Handling Equipment</t>
  </si>
  <si>
    <t>Cargo benefits</t>
  </si>
  <si>
    <t>Environmental</t>
  </si>
  <si>
    <t>n</t>
  </si>
  <si>
    <t>g</t>
  </si>
  <si>
    <t>Emissions reduction, direct</t>
  </si>
  <si>
    <t>Emissions reduction, indirect</t>
  </si>
  <si>
    <t>Baseline Description</t>
  </si>
  <si>
    <t>2014 to 2018: no activity on site</t>
  </si>
  <si>
    <t>2019-2023: &lt;5% capacity</t>
  </si>
  <si>
    <t>2023-2030: ramps up to 30% of capacity of existing site</t>
  </si>
  <si>
    <t>2030 and beyond - steady at ~30% capacity of existing site</t>
  </si>
  <si>
    <t>Inflation adjustments</t>
  </si>
  <si>
    <t>We apply suggested inflation rates per BCA guidance</t>
  </si>
  <si>
    <t>All money expressed in [2017-dollars</t>
  </si>
  <si>
    <t>Discounting</t>
  </si>
  <si>
    <t>Discount rate applied to the analysis</t>
  </si>
  <si>
    <t>Analysis Period</t>
  </si>
  <si>
    <t>Start</t>
  </si>
  <si>
    <t>Completion of construction</t>
  </si>
  <si>
    <t>Additional years</t>
  </si>
  <si>
    <t>Notes:</t>
  </si>
  <si>
    <t>Replacement rates for equipment are included in O&amp;M calculations</t>
  </si>
  <si>
    <t>Scope</t>
  </si>
  <si>
    <t>Project Components</t>
  </si>
  <si>
    <t>Ship-to-Shore (STS) Cranes</t>
  </si>
  <si>
    <t>Berth Depth (MLLW) updates</t>
  </si>
  <si>
    <t>Electrical Capacity Improvements</t>
  </si>
  <si>
    <r>
      <t xml:space="preserve">Dock Rehabilitation </t>
    </r>
    <r>
      <rPr>
        <sz val="8"/>
        <color theme="1"/>
        <rFont val="Times New Roman"/>
        <family val="1"/>
      </rPr>
      <t> </t>
    </r>
  </si>
  <si>
    <t>STS Crane Rail</t>
  </si>
  <si>
    <t>Other associated T-5 Modernization components and costs that are not part of the grant; these elements are needed for T-5 operation.</t>
  </si>
  <si>
    <t>Benefits Categories Defined by DOT</t>
  </si>
  <si>
    <t>Value of Travel Time Savings</t>
  </si>
  <si>
    <t>Other Associated T-5 Modernization</t>
  </si>
  <si>
    <t>periodic</t>
  </si>
  <si>
    <t>Table A-3</t>
  </si>
  <si>
    <t>Vehicle operating cost savings</t>
  </si>
  <si>
    <t>Safety Benefits</t>
  </si>
  <si>
    <t>Emissions Reduction</t>
  </si>
  <si>
    <t>Table A-6, A-7</t>
  </si>
  <si>
    <t>Modal Diversion</t>
  </si>
  <si>
    <t>Work Zone Impacts</t>
  </si>
  <si>
    <t>avoids future</t>
  </si>
  <si>
    <t>updates occur with T-5 under &lt;5% operation</t>
  </si>
  <si>
    <t>Resilience</t>
  </si>
  <si>
    <t>qualitative</t>
  </si>
  <si>
    <t>Noise</t>
  </si>
  <si>
    <t>no change</t>
  </si>
  <si>
    <t>Loss of Emergency Services</t>
  </si>
  <si>
    <t>Quality of Life</t>
  </si>
  <si>
    <t>Property Value Increases</t>
  </si>
  <si>
    <t>Costs</t>
  </si>
  <si>
    <t>Capital</t>
  </si>
  <si>
    <t>O&amp;M</t>
  </si>
  <si>
    <t>Residual Value</t>
  </si>
  <si>
    <t>Costs Categories Defined by DOT</t>
  </si>
  <si>
    <t>NPV Calculation</t>
  </si>
  <si>
    <t>BCR Calculation</t>
  </si>
  <si>
    <t>Benefits</t>
  </si>
  <si>
    <t>Subtract out O&amp;M costs</t>
  </si>
  <si>
    <t>Only consider capital costs</t>
  </si>
  <si>
    <t>Considerations</t>
  </si>
  <si>
    <t>BCA vs Economic Impact Analysis</t>
  </si>
  <si>
    <t>Transfers</t>
  </si>
  <si>
    <t>Avoided costs</t>
  </si>
  <si>
    <t>not considered</t>
  </si>
  <si>
    <t>Grant Administration and Management</t>
  </si>
  <si>
    <t>Surfacing, Paving, and Reinforcement</t>
  </si>
  <si>
    <t>IM Truck Competitive Reduction</t>
  </si>
  <si>
    <t>EX Truck Competitive Reduction</t>
  </si>
  <si>
    <t>Empty Truck Reduction</t>
  </si>
  <si>
    <t>IM Rail Competitive Reduction</t>
  </si>
  <si>
    <t>EX Rail Competitive Reduction</t>
  </si>
  <si>
    <t>Empty Rail Reduction</t>
  </si>
  <si>
    <t>https://www.ornl.gov/</t>
  </si>
  <si>
    <t>Capacity at Buildout</t>
  </si>
  <si>
    <t>Existing Capacity</t>
  </si>
  <si>
    <t>Base Case Ramp Up Rate</t>
  </si>
  <si>
    <t>%/yr</t>
  </si>
  <si>
    <t>Base Case % Capacity by year</t>
  </si>
  <si>
    <t>Project long term ramp rate</t>
  </si>
  <si>
    <t>% Total</t>
  </si>
  <si>
    <t>Throughput of T-5 by year, with Modernization</t>
  </si>
  <si>
    <t>Throughput - % of Capacity of T-5 by year, with Modernization</t>
  </si>
  <si>
    <t>Throughput of T-5 by year, Base Case</t>
  </si>
  <si>
    <t>T-5 TEU Capacities and Throughput</t>
  </si>
  <si>
    <t>Rate</t>
  </si>
  <si>
    <t>Year</t>
  </si>
  <si>
    <t>Historic Inflation Rates</t>
  </si>
  <si>
    <t>max possible at 1.3M capacity</t>
  </si>
  <si>
    <t>Freight Management Competitive Reductions, MAX @ 100% Capacity</t>
  </si>
  <si>
    <t>Freight Management Competitive Reductions, Base Case</t>
  </si>
  <si>
    <t>Freight Management Competitive Reductions, Project</t>
  </si>
  <si>
    <t>Discount Factor @7%</t>
  </si>
  <si>
    <t>7% Discount Factor</t>
  </si>
  <si>
    <t xml:space="preserve">Base Year </t>
  </si>
  <si>
    <t>Truck Summary, Miles Reduction, Base Case</t>
  </si>
  <si>
    <t>IMport Truck Competitive Reduction</t>
  </si>
  <si>
    <t>EXport Truck Competitive Reduction</t>
  </si>
  <si>
    <t>IMport Rail Competitive Reduction</t>
  </si>
  <si>
    <t>EXport Rail Competitive Reduction</t>
  </si>
  <si>
    <t>Import, Truck</t>
  </si>
  <si>
    <t>Export, Truck</t>
  </si>
  <si>
    <t>Total Truck Miles Reduction</t>
  </si>
  <si>
    <t>Truck Summary, Miles Reduction, Project</t>
  </si>
  <si>
    <t>Truck Summary, (Project) - (Base Case)</t>
  </si>
  <si>
    <t>Total Truck Miles Reduction $ Savings</t>
  </si>
  <si>
    <t>$ Saved</t>
  </si>
  <si>
    <t>Rail</t>
  </si>
  <si>
    <t>Rail Summary, Miles Reduction, Base Case</t>
  </si>
  <si>
    <t>Import, Rail</t>
  </si>
  <si>
    <t>Export, Rail</t>
  </si>
  <si>
    <t>Empty, Rail</t>
  </si>
  <si>
    <t>Total Rail Miles Reduction</t>
  </si>
  <si>
    <t>Rail Summary, Miles Reduction, Project</t>
  </si>
  <si>
    <t>Rail Summary, (Project) - (Base Case)</t>
  </si>
  <si>
    <t>US Rail Desktop software</t>
  </si>
  <si>
    <t>Note per mile amount includes driver costs</t>
  </si>
  <si>
    <t>Total Rail Miles Reduction $ Savings @7% Disc.</t>
  </si>
  <si>
    <t>Total Truck Miles Reduction $ Savings @7% Disc.</t>
  </si>
  <si>
    <t>TOTALS</t>
  </si>
  <si>
    <t>Incl Driver wages/benefits</t>
  </si>
  <si>
    <t>Changes in Freight Patterns - cost savings</t>
  </si>
  <si>
    <t>Gas Tax</t>
  </si>
  <si>
    <t>gal/mi</t>
  </si>
  <si>
    <t>Truck MPG</t>
  </si>
  <si>
    <t>GasTaxOffset/mi</t>
  </si>
  <si>
    <t>Urban Mileage Reduction</t>
  </si>
  <si>
    <t>Rural Mileage Reduction</t>
  </si>
  <si>
    <t>Urban $ Savings from pavement</t>
  </si>
  <si>
    <t>Rural $ Savings from pavement</t>
  </si>
  <si>
    <t>Total pavement damage savings</t>
  </si>
  <si>
    <t>Discounted at 7%</t>
  </si>
  <si>
    <t>Not inlcuded per BCA guidance</t>
  </si>
  <si>
    <t>No local/project specific modeling available</t>
  </si>
  <si>
    <t xml:space="preserve">   Crash cost, Urban 5-axle</t>
  </si>
  <si>
    <t xml:space="preserve">   Crash cost, Rural 5-axle</t>
  </si>
  <si>
    <t>https://www.fhwa.dot.gov/policy/hcas/addendum.cfm</t>
  </si>
  <si>
    <t>Table 13</t>
  </si>
  <si>
    <t>Trucking - reduction in crashes - highway/interstate only</t>
  </si>
  <si>
    <t>Total crash avoidance savings</t>
  </si>
  <si>
    <t>Urban $ Savings from crash reduction</t>
  </si>
  <si>
    <t>Rural $ savings from crash reduction</t>
  </si>
  <si>
    <t>Air Pollution Calculations</t>
  </si>
  <si>
    <t>Truck miles saved, total</t>
  </si>
  <si>
    <t>Gallons saved</t>
  </si>
  <si>
    <t>gallons</t>
  </si>
  <si>
    <t>Assumes MY 2020</t>
  </si>
  <si>
    <t xml:space="preserve">   NOx</t>
  </si>
  <si>
    <t xml:space="preserve">   VOCs</t>
  </si>
  <si>
    <t xml:space="preserve">   PM2.5</t>
  </si>
  <si>
    <t xml:space="preserve">   SO2</t>
  </si>
  <si>
    <t>GREET Model Emission Factors, Table A22//long haul diesel trucks</t>
  </si>
  <si>
    <t>g/mile</t>
  </si>
  <si>
    <t>grams</t>
  </si>
  <si>
    <t>short tons</t>
  </si>
  <si>
    <t>CONVERSION FACTORS</t>
  </si>
  <si>
    <t>1 short ton</t>
  </si>
  <si>
    <t xml:space="preserve"> $/short ton</t>
  </si>
  <si>
    <t>$/short ton</t>
  </si>
  <si>
    <t>BCA Guidance</t>
  </si>
  <si>
    <t xml:space="preserve">   CO2</t>
  </si>
  <si>
    <t>lb/gal</t>
  </si>
  <si>
    <t>https://www.eia.gov/environment/emissions/co2_vol_mass.php</t>
  </si>
  <si>
    <t xml:space="preserve">   CO2 $ savings/ton factor</t>
  </si>
  <si>
    <t>$/ton savings</t>
  </si>
  <si>
    <t>Total Emissions Savings</t>
  </si>
  <si>
    <t>$ Saved from emissions reduction</t>
  </si>
  <si>
    <t>Not modeled per DOT guidance</t>
  </si>
  <si>
    <t>not modeled per DOT guidance</t>
  </si>
  <si>
    <t>Transport Cost Reductions</t>
  </si>
  <si>
    <t>Tons per mile, Train</t>
  </si>
  <si>
    <t>ton-miles</t>
  </si>
  <si>
    <t>Total Rail Ton-Miles Reduction</t>
  </si>
  <si>
    <t>Total Rail Ton-Miles Reduction Savings</t>
  </si>
  <si>
    <t>Trucking or Train - reduction in on-road vehicle congestion</t>
  </si>
  <si>
    <t>Reduction in On-Road Vehicle Congestion</t>
  </si>
  <si>
    <t>Reduction in Pavement Damage</t>
  </si>
  <si>
    <t>Trucking</t>
  </si>
  <si>
    <t>Not Applicable</t>
  </si>
  <si>
    <t>Reduction in Crashes</t>
  </si>
  <si>
    <t xml:space="preserve">Train </t>
  </si>
  <si>
    <t>Total train miles reduction including empty</t>
  </si>
  <si>
    <t>Accident Risk Savings</t>
  </si>
  <si>
    <t>Train cost of accident risk/mile</t>
  </si>
  <si>
    <t>https://www.cbo.gov/sites/default/files/114th-congress-2015-2016/workingpaper/50049-Freight_Transport_Working_Paper-2.pdf</t>
  </si>
  <si>
    <t>Air Emissions / mile, Trucks</t>
  </si>
  <si>
    <t>Air Emissions, g/bhp-hr, locomotives, Tier IV</t>
  </si>
  <si>
    <t xml:space="preserve">   SO2  </t>
  </si>
  <si>
    <t>not available</t>
  </si>
  <si>
    <t>g/bhp-hr</t>
  </si>
  <si>
    <t>https://nepis.epa.gov/Exe/ZyPDF.cgi/P100500B.PDF?Dockey=P100500B.PDF</t>
  </si>
  <si>
    <t>g/gal</t>
  </si>
  <si>
    <t>Line haul conversion factor to g/gal</t>
  </si>
  <si>
    <t>bhp-hr/gal</t>
  </si>
  <si>
    <t>est per https://nepis.epa.gov/Exe/ZyPDF.cgi/P100500B.PDF?Dockey=P100500B.PDF</t>
  </si>
  <si>
    <t>Fuel consumption, rail</t>
  </si>
  <si>
    <t>gal/ton-mile</t>
  </si>
  <si>
    <t>approx US average per USEPA</t>
  </si>
  <si>
    <t>g/ton-mile</t>
  </si>
  <si>
    <t>Convert to short ton/ton-mile</t>
  </si>
  <si>
    <t>short tons/ton-mile</t>
  </si>
  <si>
    <t>ton-mile/gal</t>
  </si>
  <si>
    <t>Fuel consumption/ton-mile</t>
  </si>
  <si>
    <t xml:space="preserve">   CO2 emission factor</t>
  </si>
  <si>
    <t>short ton CO2/ton-mile</t>
  </si>
  <si>
    <t>Ton-miles Saved</t>
  </si>
  <si>
    <t>est. per above ref.</t>
  </si>
  <si>
    <t>n/a</t>
  </si>
  <si>
    <t>rail</t>
  </si>
  <si>
    <t>short ton CO2/gal diesel</t>
  </si>
  <si>
    <t>All discounted @7%</t>
  </si>
  <si>
    <t>Pavement Damage Reductions</t>
  </si>
  <si>
    <t>Crash Reductions</t>
  </si>
  <si>
    <t>Air Pollution Reductions</t>
  </si>
  <si>
    <t>TOTAL BENEFITS</t>
  </si>
  <si>
    <t>Reefer Electrification</t>
  </si>
  <si>
    <t>Project Capital Costs</t>
  </si>
  <si>
    <t>Reefer Operations Costs (Elec + Generator fuel)</t>
  </si>
  <si>
    <t>Rest of Terminal Operations &amp; Maintenance</t>
  </si>
  <si>
    <t>Port Equipment O&amp;M and Replacement</t>
  </si>
  <si>
    <t>Stormwater Treatment O&amp;M</t>
  </si>
  <si>
    <t>Net O&amp;M = (Proj) - (Base Case), discounted</t>
  </si>
  <si>
    <t>TOTAL COSTS</t>
  </si>
  <si>
    <t>Project CAPEX</t>
  </si>
  <si>
    <t>Stop using Tier 2 diesel generators when have &gt;640 reefers on site</t>
  </si>
  <si>
    <t>Power source for &gt;640 reefers</t>
  </si>
  <si>
    <t>diesel generators, T2</t>
  </si>
  <si>
    <t>will reach capacity during select periods of the year - during harvest</t>
  </si>
  <si>
    <t>Average capacity</t>
  </si>
  <si>
    <t>reefers used per day</t>
  </si>
  <si>
    <t>Electricity demand per reefer</t>
  </si>
  <si>
    <t>Hours per day elec demand</t>
  </si>
  <si>
    <t>kW</t>
  </si>
  <si>
    <t>h</t>
  </si>
  <si>
    <t>kWh/hr demand</t>
  </si>
  <si>
    <t>kWh/d per reefer</t>
  </si>
  <si>
    <t>Total avearge reefer demand</t>
  </si>
  <si>
    <t>kWh/d total</t>
  </si>
  <si>
    <t>Amount supplied base case</t>
  </si>
  <si>
    <t xml:space="preserve">kWh/d </t>
  </si>
  <si>
    <t>PROJECT &amp; CALCULATIONS</t>
  </si>
  <si>
    <t>Net elec supplied by diesel withouth project</t>
  </si>
  <si>
    <t>g/kWh</t>
  </si>
  <si>
    <t>Emission Factors, USEPA, diesel non-emergency engine MY 2014 or later, 75 to 750 HP engine capacity</t>
  </si>
  <si>
    <t xml:space="preserve">   VOC</t>
  </si>
  <si>
    <t>https://www.epa.gov/sites/production/files/2016-07/engines_ci_pte_calculator_version_1.0_0.xlsx</t>
  </si>
  <si>
    <t>Net elec from diesel per year</t>
  </si>
  <si>
    <t>kWh/yr</t>
  </si>
  <si>
    <t>Emissions per year at T-5 full capacity</t>
  </si>
  <si>
    <t>Emissions / yr in short tons</t>
  </si>
  <si>
    <t>short tons/yr</t>
  </si>
  <si>
    <t xml:space="preserve">   NOx emissions reduction: $ Savings</t>
  </si>
  <si>
    <t xml:space="preserve">   VOCs emissions reduction: $ Savings</t>
  </si>
  <si>
    <t xml:space="preserve">   PM2.5 emissions reduction: $ Savings</t>
  </si>
  <si>
    <t xml:space="preserve">   SO2 emissions reduction: $ Savings</t>
  </si>
  <si>
    <t>Reefer</t>
  </si>
  <si>
    <t>O&amp;M Costs (positive values show net benefit, negative show net cost)</t>
  </si>
  <si>
    <t>Benefit Cost Ratio</t>
  </si>
  <si>
    <t>neg values shows benefit</t>
  </si>
  <si>
    <t>BCR &amp; NPV</t>
  </si>
  <si>
    <t>NOx</t>
  </si>
  <si>
    <t>VOCs</t>
  </si>
  <si>
    <t>PM2.5</t>
  </si>
  <si>
    <t>SO2</t>
  </si>
  <si>
    <t>CO2</t>
  </si>
  <si>
    <t>Discounted Benefit (7%)</t>
  </si>
  <si>
    <t>Truck pollutant reduction</t>
  </si>
  <si>
    <t>Total Pollutant Reduction</t>
  </si>
  <si>
    <t>Train pollutant reduction</t>
  </si>
  <si>
    <t>Reefer Pollutant Reduction</t>
  </si>
  <si>
    <t>not modeled</t>
  </si>
  <si>
    <t>Base Case</t>
  </si>
  <si>
    <t>Operations and Maintenance</t>
  </si>
  <si>
    <t>Stormwater Maintenance and Treatment (incl. upgrades)</t>
  </si>
  <si>
    <t>Discounted @7%</t>
  </si>
  <si>
    <t>Net O&amp;M Benefit of Project @7%</t>
  </si>
  <si>
    <t>Baseline</t>
  </si>
  <si>
    <t>Short Tons Reduced</t>
  </si>
  <si>
    <t>Pollutant</t>
  </si>
  <si>
    <t>Freight Related Trucking and Rail Savings</t>
  </si>
  <si>
    <t>Truck miles reduction</t>
  </si>
  <si>
    <t>Truck Miles Reduction Savings</t>
  </si>
  <si>
    <t>Discounted Benefit @7%</t>
  </si>
  <si>
    <t>Rail Ton-Miles Reduction</t>
  </si>
  <si>
    <t>Rail Ton-Miles Reduction Savings</t>
  </si>
  <si>
    <t>Terminal 5 Capacity (TEU/year)</t>
  </si>
  <si>
    <t>Freight Transit Cost Reductions</t>
  </si>
  <si>
    <t>Project O&amp;M Costs</t>
  </si>
  <si>
    <t>Base Case O&amp;M Costs</t>
  </si>
  <si>
    <t>MODEL: COSTS</t>
  </si>
  <si>
    <t>MODEL: MAIN</t>
  </si>
  <si>
    <t>MODEL: SUMMARY OF BENEFITS AND COSTS</t>
  </si>
  <si>
    <t>MODEL: ASSUMPTIONS</t>
  </si>
  <si>
    <t>KEY PARAMETERS</t>
  </si>
  <si>
    <t>SUBMODEL: REEFER RACKS CALCULATIONS AND INFORMATION</t>
  </si>
  <si>
    <t>checked</t>
  </si>
  <si>
    <t>QAQC / REVIEW TRACKING</t>
  </si>
  <si>
    <t>BACKGROUND DATA AND INFORMATION</t>
  </si>
  <si>
    <t>ADDED THIS BY DROPPING OUTPUT FROM BASELINE</t>
  </si>
  <si>
    <t>SELECT RESULTS AND CHARTS</t>
  </si>
  <si>
    <t>$100-to 110k per year with just the two systems</t>
  </si>
  <si>
    <t>Scale to 1500 plugs</t>
  </si>
  <si>
    <t>Stays the same</t>
  </si>
  <si>
    <t>Upsizing Electric Reefer Plug Capacity to 1500</t>
  </si>
  <si>
    <t>On-Terminal Rail Improvements</t>
  </si>
  <si>
    <t>Surface, Paving, and Reinforcement</t>
  </si>
  <si>
    <t>See 3/24 mtg notes</t>
  </si>
  <si>
    <t>REVISED</t>
  </si>
  <si>
    <t>1500 reefer plugs</t>
  </si>
  <si>
    <t>OLD HISTORIC REF: https://atri-online.org/wp-content/uploads/2018/10/ATRI-Operational-Costs-of-Trucking-2018.pdf</t>
  </si>
  <si>
    <t>CURRENT https://truckingresearch.org/wp-content/uploads/2019/11/ATRI-Operational-Costs-of-Trucking-2019-1.pdf</t>
  </si>
  <si>
    <t>2019 value</t>
  </si>
  <si>
    <t>2019 DATA NO LONGER NEEDED</t>
  </si>
  <si>
    <t>Expand Reefer electrification plugs from 640 to 1500</t>
  </si>
  <si>
    <t xml:space="preserve">Upsizing Electric Reefer Plug Capacity </t>
  </si>
  <si>
    <t xml:space="preserve">   loss of life from crashes, urban</t>
  </si>
  <si>
    <t xml:space="preserve">   loss of life from crashes, rural</t>
  </si>
  <si>
    <t>https://www.transportation.gov/rural/rural-transportation-statistics</t>
  </si>
  <si>
    <t>fatalaties per 100 million miles</t>
  </si>
  <si>
    <t xml:space="preserve">   Value of a statistical life</t>
  </si>
  <si>
    <t>$ value / life</t>
  </si>
  <si>
    <t xml:space="preserve">2016 data, </t>
  </si>
  <si>
    <t>https://www.transportation.gov/sites/dot.gov/files/docs/2016%20Revised%20Value%20of%20a%20Statistical%20Life%20Guidance.pdf)</t>
  </si>
  <si>
    <t>x</t>
  </si>
  <si>
    <t>Urban $ savings from avoided loss of life</t>
  </si>
  <si>
    <t xml:space="preserve"> Rural $ savings from avoided loss of life</t>
  </si>
  <si>
    <t>Summary</t>
  </si>
  <si>
    <t>T-5 Modernization with Project</t>
  </si>
  <si>
    <t>Crash Reductions &amp; Loss of Life</t>
  </si>
  <si>
    <t>NPV</t>
  </si>
  <si>
    <t>O&amp;M Costs (net benefit)</t>
  </si>
  <si>
    <t>Air Pollution Reduction</t>
  </si>
  <si>
    <t>Crash &amp; Loss of Life Reduction</t>
  </si>
  <si>
    <t>Pavement Damage Reduction</t>
  </si>
  <si>
    <t>Terminal 5 Uplands Modernization and Rehabilitation Project 
Final Phase</t>
  </si>
  <si>
    <t xml:space="preserve"> </t>
  </si>
  <si>
    <t>APPENDIX B2</t>
  </si>
  <si>
    <t>BENEFIT COST ANALYSIS: BASELINE + TERMINAL 5 PROJECT</t>
  </si>
  <si>
    <t>Rest of T-5 Modernization</t>
  </si>
  <si>
    <t xml:space="preserve">Rest of T-5 Modernization </t>
  </si>
  <si>
    <t/>
  </si>
  <si>
    <t>May 15, 2020</t>
  </si>
  <si>
    <t>U.S. DEPARTMENT OF TRANSPORTATION</t>
  </si>
  <si>
    <t>National Infrastructure Investments</t>
  </si>
  <si>
    <t>DTOS59-20-RA-BUILD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</si>
</sst>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00_);_(&quot;$&quot;* \(#,##0.000\);_(&quot;$&quot;* &quot;-&quot;??_);_(@_)"/>
    <numFmt numFmtId="167" formatCode="_(* #,##0.0_);_(* \(#,##0.0\);_(* &quot;-&quot;??_);_(@_)"/>
    <numFmt numFmtId="168" formatCode="_(&quot;$&quot;* #,##0_);_(&quot;$&quot;* \(#,##0\);_(&quot;$&quot;* &quot;-&quot;??_);_(@_)"/>
    <numFmt numFmtId="169" formatCode="0.0"/>
    <numFmt numFmtId="170" formatCode="_(* #,##0.0_);_(* \(#,##0.0\);_(* &quot;-&quot;?_);_(@_)"/>
    <numFmt numFmtId="171" formatCode="_(* #,##0_);_(* \(#,##0\);_(* &quot;-&quot;?_);_(@_)"/>
    <numFmt numFmtId="172" formatCode="_(&quot;$&quot;* #,##0.0_);_(&quot;$&quot;* \(#,##0.0\);_(&quot;$&quot;* &quot;-&quot;?_);_(@_)"/>
    <numFmt numFmtId="173" formatCode="_(&quot;$&quot;* #,##0_);_(&quot;$&quot;* \(#,##0\);_(&quot;$&quot;* &quot;-&quot;?_);_(@_)"/>
    <numFmt numFmtId="174" formatCode="_(&quot;$&quot;* #,##0.00000_);_(&quot;$&quot;* \(#,##0.00000\);_(&quot;$&quot;* &quot;-&quot;??_);_(@_)"/>
    <numFmt numFmtId="175" formatCode="_(&quot;$&quot;* #,##0.000000_);_(&quot;$&quot;* \(#,##0.000000\);_(&quot;$&quot;* &quot;-&quot;??_);_(@_)"/>
    <numFmt numFmtId="176" formatCode="&quot;$&quot;#,##0.000000_);[Red]\(&quot;$&quot;#,##0.000000\)"/>
    <numFmt numFmtId="177" formatCode="_(* #,##0.000_);_(* \(#,##0.000\);_(* &quot;-&quot;??_);_(@_)"/>
    <numFmt numFmtId="178" formatCode="_(* #,##0.0000_);_(* \(#,##0.0000\);_(* &quot;-&quot;??_);_(@_)"/>
    <numFmt numFmtId="179" formatCode="_(* #,##0.000000_);_(* \(#,##0.000000\);_(* &quot;-&quot;??_);_(@_)"/>
    <numFmt numFmtId="180" formatCode="_(* #,##0.000000000_);_(* \(#,##0.000000000\);_(* &quot;-&quot;??_);_(@_)"/>
    <numFmt numFmtId="181" formatCode="_(* #,##0.00000000000_);_(* \(#,##0.00000000000\);_(* &quot;-&quot;??_);_(@_)"/>
    <numFmt numFmtId="182" formatCode="_(* #,##0.000000000000_);_(* \(#,##0.000000000000\);_(* &quot;-&quot;??_);_(@_)"/>
    <numFmt numFmtId="183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2" fillId="0" borderId="0"/>
    <xf numFmtId="0" fontId="2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9" fontId="0" fillId="0" borderId="0" xfId="0" applyNumberFormat="1"/>
    <xf numFmtId="0" fontId="4" fillId="0" borderId="0" xfId="1"/>
    <xf numFmtId="0" fontId="0" fillId="2" borderId="0" xfId="0" applyFill="1"/>
    <xf numFmtId="0" fontId="0" fillId="0" borderId="1" xfId="0" applyBorder="1"/>
    <xf numFmtId="164" fontId="0" fillId="0" borderId="1" xfId="2" applyNumberFormat="1" applyFont="1" applyBorder="1"/>
    <xf numFmtId="164" fontId="0" fillId="0" borderId="0" xfId="2" applyNumberFormat="1" applyFont="1" applyAlignment="1">
      <alignment vertical="top"/>
    </xf>
    <xf numFmtId="164" fontId="0" fillId="0" borderId="0" xfId="2" applyNumberFormat="1" applyFont="1"/>
    <xf numFmtId="164" fontId="0" fillId="0" borderId="0" xfId="0" applyNumberFormat="1"/>
    <xf numFmtId="165" fontId="0" fillId="0" borderId="0" xfId="4" applyNumberFormat="1" applyFont="1"/>
    <xf numFmtId="165" fontId="0" fillId="0" borderId="0" xfId="0" applyNumberFormat="1"/>
    <xf numFmtId="165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8" fontId="0" fillId="0" borderId="0" xfId="0" applyNumberFormat="1"/>
    <xf numFmtId="0" fontId="0" fillId="0" borderId="0" xfId="0" applyFill="1"/>
    <xf numFmtId="0" fontId="8" fillId="0" borderId="0" xfId="0" applyNumberFormat="1" applyFont="1" applyFill="1" applyBorder="1" applyAlignment="1" applyProtection="1"/>
    <xf numFmtId="166" fontId="0" fillId="0" borderId="0" xfId="0" applyNumberFormat="1"/>
    <xf numFmtId="164" fontId="6" fillId="0" borderId="0" xfId="2" applyNumberFormat="1" applyFont="1"/>
    <xf numFmtId="9" fontId="0" fillId="0" borderId="0" xfId="4" applyFont="1"/>
    <xf numFmtId="167" fontId="0" fillId="0" borderId="0" xfId="2" applyNumberFormat="1" applyFont="1"/>
    <xf numFmtId="168" fontId="0" fillId="0" borderId="0" xfId="3" applyNumberFormat="1" applyFont="1"/>
    <xf numFmtId="168" fontId="0" fillId="0" borderId="0" xfId="0" applyNumberFormat="1"/>
    <xf numFmtId="168" fontId="1" fillId="0" borderId="0" xfId="0" applyNumberFormat="1" applyFont="1"/>
    <xf numFmtId="168" fontId="1" fillId="0" borderId="0" xfId="3" applyNumberFormat="1" applyFont="1"/>
    <xf numFmtId="164" fontId="1" fillId="0" borderId="0" xfId="2" applyNumberFormat="1" applyFo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9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/>
    </xf>
    <xf numFmtId="6" fontId="0" fillId="0" borderId="0" xfId="0" applyNumberFormat="1"/>
    <xf numFmtId="0" fontId="4" fillId="0" borderId="0" xfId="1" applyAlignment="1">
      <alignment vertical="top"/>
    </xf>
    <xf numFmtId="43" fontId="0" fillId="0" borderId="0" xfId="2" applyFont="1"/>
    <xf numFmtId="10" fontId="0" fillId="0" borderId="0" xfId="4" applyNumberFormat="1" applyFont="1"/>
    <xf numFmtId="164" fontId="0" fillId="0" borderId="0" xfId="4" applyNumberFormat="1" applyFont="1"/>
    <xf numFmtId="8" fontId="0" fillId="4" borderId="0" xfId="0" applyNumberFormat="1" applyFill="1"/>
    <xf numFmtId="8" fontId="8" fillId="4" borderId="0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/>
    <xf numFmtId="0" fontId="3" fillId="5" borderId="0" xfId="0" applyFont="1" applyFill="1"/>
    <xf numFmtId="0" fontId="3" fillId="5" borderId="0" xfId="0" applyFont="1" applyFill="1" applyAlignment="1">
      <alignment vertical="top"/>
    </xf>
    <xf numFmtId="170" fontId="3" fillId="5" borderId="0" xfId="0" applyNumberFormat="1" applyFont="1" applyFill="1"/>
    <xf numFmtId="171" fontId="3" fillId="5" borderId="0" xfId="0" applyNumberFormat="1" applyFont="1" applyFill="1"/>
    <xf numFmtId="174" fontId="0" fillId="0" borderId="0" xfId="3" applyNumberFormat="1" applyFont="1"/>
    <xf numFmtId="175" fontId="0" fillId="0" borderId="0" xfId="3" applyNumberFormat="1" applyFont="1"/>
    <xf numFmtId="49" fontId="0" fillId="0" borderId="0" xfId="3" applyNumberFormat="1" applyFont="1" applyAlignment="1">
      <alignment vertical="top"/>
    </xf>
    <xf numFmtId="176" fontId="0" fillId="0" borderId="0" xfId="0" applyNumberFormat="1"/>
    <xf numFmtId="177" fontId="0" fillId="0" borderId="0" xfId="2" applyNumberFormat="1" applyFont="1"/>
    <xf numFmtId="43" fontId="0" fillId="0" borderId="0" xfId="2" applyNumberFormat="1" applyFont="1"/>
    <xf numFmtId="178" fontId="0" fillId="0" borderId="0" xfId="2" applyNumberFormat="1" applyFont="1"/>
    <xf numFmtId="179" fontId="0" fillId="0" borderId="0" xfId="2" applyNumberFormat="1" applyFont="1"/>
    <xf numFmtId="180" fontId="0" fillId="0" borderId="0" xfId="2" applyNumberFormat="1" applyFont="1"/>
    <xf numFmtId="181" fontId="0" fillId="0" borderId="0" xfId="2" applyNumberFormat="1" applyFont="1"/>
    <xf numFmtId="182" fontId="0" fillId="0" borderId="0" xfId="2" applyNumberFormat="1" applyFont="1"/>
    <xf numFmtId="173" fontId="0" fillId="0" borderId="0" xfId="0" applyNumberFormat="1"/>
    <xf numFmtId="0" fontId="1" fillId="5" borderId="0" xfId="0" applyFont="1" applyFill="1"/>
    <xf numFmtId="173" fontId="1" fillId="5" borderId="0" xfId="0" applyNumberFormat="1" applyFont="1" applyFill="1"/>
    <xf numFmtId="172" fontId="1" fillId="5" borderId="0" xfId="0" applyNumberFormat="1" applyFont="1" applyFill="1"/>
    <xf numFmtId="168" fontId="1" fillId="5" borderId="0" xfId="3" applyNumberFormat="1" applyFont="1" applyFill="1"/>
    <xf numFmtId="173" fontId="1" fillId="0" borderId="0" xfId="0" applyNumberFormat="1" applyFont="1"/>
    <xf numFmtId="0" fontId="0" fillId="0" borderId="0" xfId="0"/>
    <xf numFmtId="0" fontId="1" fillId="0" borderId="0" xfId="0" applyFont="1"/>
    <xf numFmtId="44" fontId="0" fillId="0" borderId="0" xfId="3" applyFont="1"/>
    <xf numFmtId="0" fontId="0" fillId="0" borderId="0" xfId="0" applyFont="1"/>
    <xf numFmtId="44" fontId="0" fillId="0" borderId="0" xfId="0" applyNumberFormat="1"/>
    <xf numFmtId="0" fontId="0" fillId="0" borderId="0" xfId="0" applyBorder="1"/>
    <xf numFmtId="168" fontId="0" fillId="0" borderId="0" xfId="3" applyNumberFormat="1" applyFont="1" applyBorder="1"/>
    <xf numFmtId="0" fontId="11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83" fontId="14" fillId="0" borderId="0" xfId="0" applyNumberFormat="1" applyFont="1"/>
    <xf numFmtId="168" fontId="14" fillId="0" borderId="0" xfId="0" applyNumberFormat="1" applyFont="1"/>
    <xf numFmtId="43" fontId="0" fillId="0" borderId="0" xfId="0" applyNumberFormat="1"/>
    <xf numFmtId="0" fontId="16" fillId="0" borderId="0" xfId="0" applyFont="1"/>
    <xf numFmtId="0" fontId="17" fillId="0" borderId="0" xfId="0" applyFont="1"/>
    <xf numFmtId="164" fontId="0" fillId="0" borderId="0" xfId="2" applyNumberFormat="1" applyFont="1" applyFill="1"/>
    <xf numFmtId="164" fontId="0" fillId="0" borderId="0" xfId="4" applyNumberFormat="1" applyFont="1" applyFill="1"/>
    <xf numFmtId="168" fontId="0" fillId="0" borderId="0" xfId="3" applyNumberFormat="1" applyFont="1" applyFill="1"/>
    <xf numFmtId="6" fontId="0" fillId="0" borderId="0" xfId="2" applyNumberFormat="1" applyFont="1"/>
    <xf numFmtId="164" fontId="18" fillId="0" borderId="0" xfId="2" applyNumberFormat="1" applyFont="1"/>
    <xf numFmtId="10" fontId="18" fillId="0" borderId="0" xfId="4" applyNumberFormat="1" applyFont="1"/>
    <xf numFmtId="9" fontId="8" fillId="0" borderId="0" xfId="4" applyFont="1"/>
    <xf numFmtId="165" fontId="0" fillId="0" borderId="0" xfId="4" applyNumberFormat="1" applyFont="1" applyFill="1"/>
    <xf numFmtId="165" fontId="6" fillId="0" borderId="0" xfId="0" applyNumberFormat="1" applyFont="1" applyFill="1"/>
    <xf numFmtId="1" fontId="0" fillId="0" borderId="0" xfId="0" applyNumberFormat="1"/>
    <xf numFmtId="0" fontId="5" fillId="3" borderId="0" xfId="6" applyFill="1"/>
    <xf numFmtId="0" fontId="5" fillId="3" borderId="0" xfId="6" applyFill="1" applyAlignment="1">
      <alignment vertical="top" wrapText="1"/>
    </xf>
    <xf numFmtId="0" fontId="21" fillId="3" borderId="0" xfId="6" applyFont="1" applyFill="1"/>
    <xf numFmtId="0" fontId="23" fillId="0" borderId="0" xfId="7" applyFont="1" applyAlignment="1">
      <alignment horizontal="centerContinuous" vertical="center"/>
    </xf>
    <xf numFmtId="0" fontId="24" fillId="0" borderId="0" xfId="7" applyFont="1" applyAlignment="1">
      <alignment horizontal="centerContinuous" vertical="center"/>
    </xf>
    <xf numFmtId="0" fontId="20" fillId="3" borderId="0" xfId="6" applyFont="1" applyFill="1" applyAlignment="1">
      <alignment horizontal="centerContinuous"/>
    </xf>
    <xf numFmtId="0" fontId="20" fillId="3" borderId="0" xfId="6" applyFont="1" applyFill="1"/>
    <xf numFmtId="0" fontId="24" fillId="0" borderId="0" xfId="7" applyFont="1" applyAlignment="1">
      <alignment horizontal="centerContinuous" vertical="center" wrapText="1"/>
    </xf>
    <xf numFmtId="0" fontId="5" fillId="3" borderId="0" xfId="6" applyFill="1" applyAlignment="1">
      <alignment horizontal="right"/>
    </xf>
    <xf numFmtId="0" fontId="27" fillId="3" borderId="0" xfId="8" applyFont="1" applyFill="1" applyAlignment="1">
      <alignment horizontal="left"/>
    </xf>
    <xf numFmtId="0" fontId="28" fillId="3" borderId="0" xfId="6" applyFont="1" applyFill="1" applyAlignment="1">
      <alignment horizontal="center" vertical="center"/>
    </xf>
    <xf numFmtId="0" fontId="29" fillId="3" borderId="0" xfId="6" applyFont="1" applyFill="1" applyAlignment="1">
      <alignment horizontal="center" vertical="center"/>
    </xf>
    <xf numFmtId="0" fontId="30" fillId="3" borderId="0" xfId="6" applyFont="1" applyFill="1" applyAlignment="1">
      <alignment horizontal="center" vertical="center"/>
    </xf>
    <xf numFmtId="0" fontId="28" fillId="3" borderId="0" xfId="6" applyFont="1" applyFill="1" applyAlignment="1">
      <alignment horizontal="centerContinuous"/>
    </xf>
    <xf numFmtId="0" fontId="28" fillId="3" borderId="0" xfId="6" applyFont="1" applyFill="1"/>
    <xf numFmtId="168" fontId="0" fillId="0" borderId="0" xfId="3" applyNumberFormat="1" applyFont="1" applyAlignment="1">
      <alignment vertical="center" textRotation="90"/>
    </xf>
    <xf numFmtId="0" fontId="0" fillId="0" borderId="0" xfId="0" applyAlignment="1">
      <alignment vertical="center" textRotation="90"/>
    </xf>
    <xf numFmtId="0" fontId="20" fillId="3" borderId="0" xfId="6" quotePrefix="1" applyFont="1" applyFill="1"/>
    <xf numFmtId="15" fontId="21" fillId="3" borderId="0" xfId="6" quotePrefix="1" applyNumberFormat="1" applyFont="1" applyFill="1" applyAlignment="1">
      <alignment horizontal="center"/>
    </xf>
    <xf numFmtId="0" fontId="19" fillId="3" borderId="0" xfId="6" applyFont="1" applyFill="1" applyAlignment="1">
      <alignment horizontal="center"/>
    </xf>
    <xf numFmtId="0" fontId="20" fillId="3" borderId="0" xfId="6" applyFont="1" applyFill="1" applyAlignment="1">
      <alignment horizontal="center" vertical="center" wrapText="1"/>
    </xf>
    <xf numFmtId="0" fontId="25" fillId="0" borderId="0" xfId="7" applyFont="1" applyAlignment="1">
      <alignment horizontal="left" vertical="top" wrapText="1"/>
    </xf>
    <xf numFmtId="0" fontId="0" fillId="0" borderId="0" xfId="0" applyAlignment="1">
      <alignment horizontal="center" vertical="center" textRotation="90" wrapText="1"/>
    </xf>
    <xf numFmtId="168" fontId="0" fillId="0" borderId="0" xfId="3" applyNumberFormat="1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/>
    </xf>
    <xf numFmtId="164" fontId="0" fillId="0" borderId="0" xfId="2" applyNumberFormat="1" applyFont="1" applyAlignment="1">
      <alignment horizontal="center" vertical="center" wrapText="1"/>
    </xf>
  </cellXfs>
  <cellStyles count="9">
    <cellStyle name="Comma" xfId="2" builtinId="3"/>
    <cellStyle name="Currency" xfId="3" builtinId="4"/>
    <cellStyle name="Hyperlink" xfId="1" builtinId="8"/>
    <cellStyle name="Hyperlink 2" xfId="5" xr:uid="{14850C6B-C2D8-4B87-AA37-EA844150F8BB}"/>
    <cellStyle name="Hyperlink 3" xfId="8" xr:uid="{80BC0927-DBB2-4181-ABE3-0E8B6F385FC8}"/>
    <cellStyle name="Normal" xfId="0" builtinId="0"/>
    <cellStyle name="Normal 2" xfId="7" xr:uid="{2E457852-131C-4C09-B1BE-5593009BEC9F}"/>
    <cellStyle name="Normal 3" xfId="6" xr:uid="{F9BCAE97-DC42-4AA2-9071-BD51FA37EF04}"/>
    <cellStyle name="Percent" xfId="4" builtinId="5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277248238707"/>
          <c:y val="6.2708151064450282E-2"/>
          <c:w val="0.75436583584946615"/>
          <c:h val="0.67591316710411198"/>
        </c:manualLayout>
      </c:layout>
      <c:lineChart>
        <c:grouping val="standard"/>
        <c:varyColors val="0"/>
        <c:ser>
          <c:idx val="0"/>
          <c:order val="0"/>
          <c:tx>
            <c:strRef>
              <c:f>'Results Charts'!$C$61</c:f>
              <c:strCache>
                <c:ptCount val="1"/>
                <c:pt idx="0">
                  <c:v> Base Case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'Results Charts'!$D$60:$AC$60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'Results Charts'!$D$61:$AC$61</c:f>
              <c:numCache>
                <c:formatCode>_(* #,##0_);_(* \(#,##0\);_(* "-"??_);_(@_)</c:formatCode>
                <c:ptCount val="26"/>
                <c:pt idx="0">
                  <c:v>20704</c:v>
                </c:pt>
                <c:pt idx="1">
                  <c:v>30409</c:v>
                </c:pt>
                <c:pt idx="2">
                  <c:v>32091.200000000001</c:v>
                </c:pt>
                <c:pt idx="3">
                  <c:v>39855.200000000004</c:v>
                </c:pt>
                <c:pt idx="4">
                  <c:v>59524</c:v>
                </c:pt>
                <c:pt idx="5">
                  <c:v>69229</c:v>
                </c:pt>
                <c:pt idx="6">
                  <c:v>78934</c:v>
                </c:pt>
                <c:pt idx="7">
                  <c:v>88639</c:v>
                </c:pt>
                <c:pt idx="8">
                  <c:v>98344.000000000015</c:v>
                </c:pt>
                <c:pt idx="9">
                  <c:v>108049.00000000003</c:v>
                </c:pt>
                <c:pt idx="10">
                  <c:v>117754.00000000003</c:v>
                </c:pt>
                <c:pt idx="11">
                  <c:v>127459.00000000004</c:v>
                </c:pt>
                <c:pt idx="12">
                  <c:v>137164.00000000006</c:v>
                </c:pt>
                <c:pt idx="13">
                  <c:v>146869.00000000006</c:v>
                </c:pt>
                <c:pt idx="14">
                  <c:v>156574.00000000006</c:v>
                </c:pt>
                <c:pt idx="15">
                  <c:v>166279.00000000009</c:v>
                </c:pt>
                <c:pt idx="16">
                  <c:v>175984.00000000009</c:v>
                </c:pt>
                <c:pt idx="17">
                  <c:v>185689.00000000009</c:v>
                </c:pt>
                <c:pt idx="18">
                  <c:v>195394.00000000009</c:v>
                </c:pt>
                <c:pt idx="19">
                  <c:v>205099.00000000012</c:v>
                </c:pt>
                <c:pt idx="20">
                  <c:v>214804.00000000012</c:v>
                </c:pt>
                <c:pt idx="21">
                  <c:v>224509.00000000012</c:v>
                </c:pt>
                <c:pt idx="22">
                  <c:v>234214.00000000015</c:v>
                </c:pt>
                <c:pt idx="23">
                  <c:v>243919.00000000015</c:v>
                </c:pt>
                <c:pt idx="24">
                  <c:v>253624.00000000015</c:v>
                </c:pt>
                <c:pt idx="25">
                  <c:v>263329.00000000017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D-4F72-B2E2-0D30369D51FE}"/>
            </c:ext>
          </c:extLst>
        </c:ser>
        <c:ser>
          <c:idx val="1"/>
          <c:order val="1"/>
          <c:tx>
            <c:strRef>
              <c:f>'Results Charts'!$C$62</c:f>
              <c:strCache>
                <c:ptCount val="1"/>
                <c:pt idx="0">
                  <c:v> T-5 Modernization with Project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'Results Charts'!$D$60:$AC$60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'Results Charts'!$D$62:$AC$62</c:f>
              <c:numCache>
                <c:formatCode>_(* #,##0_);_(* \(#,##0\);_(* "-"??_);_(@_)</c:formatCode>
                <c:ptCount val="26"/>
                <c:pt idx="0">
                  <c:v>20704</c:v>
                </c:pt>
                <c:pt idx="1">
                  <c:v>65000</c:v>
                </c:pt>
                <c:pt idx="2">
                  <c:v>104000</c:v>
                </c:pt>
                <c:pt idx="3">
                  <c:v>130000</c:v>
                </c:pt>
                <c:pt idx="4">
                  <c:v>520000</c:v>
                </c:pt>
                <c:pt idx="5">
                  <c:v>715000</c:v>
                </c:pt>
                <c:pt idx="6">
                  <c:v>819000</c:v>
                </c:pt>
                <c:pt idx="7">
                  <c:v>864500</c:v>
                </c:pt>
                <c:pt idx="8">
                  <c:v>910000.00000000012</c:v>
                </c:pt>
                <c:pt idx="9">
                  <c:v>955500.00000000012</c:v>
                </c:pt>
                <c:pt idx="10">
                  <c:v>1001000.0000000001</c:v>
                </c:pt>
                <c:pt idx="11">
                  <c:v>1040000</c:v>
                </c:pt>
                <c:pt idx="12">
                  <c:v>1040000</c:v>
                </c:pt>
                <c:pt idx="13">
                  <c:v>1040000</c:v>
                </c:pt>
                <c:pt idx="14">
                  <c:v>1040000</c:v>
                </c:pt>
                <c:pt idx="15">
                  <c:v>1040000</c:v>
                </c:pt>
                <c:pt idx="16">
                  <c:v>1040000</c:v>
                </c:pt>
                <c:pt idx="17">
                  <c:v>1040000</c:v>
                </c:pt>
                <c:pt idx="18">
                  <c:v>1040000</c:v>
                </c:pt>
                <c:pt idx="19">
                  <c:v>1040000</c:v>
                </c:pt>
                <c:pt idx="20">
                  <c:v>1040000</c:v>
                </c:pt>
                <c:pt idx="21">
                  <c:v>1040000</c:v>
                </c:pt>
                <c:pt idx="22">
                  <c:v>1040000</c:v>
                </c:pt>
                <c:pt idx="23">
                  <c:v>1040000</c:v>
                </c:pt>
                <c:pt idx="24">
                  <c:v>1040000</c:v>
                </c:pt>
                <c:pt idx="25">
                  <c:v>1040000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D-4F72-B2E2-0D30369D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076416"/>
        <c:axId val="396243760"/>
      </c:lineChart>
      <c:catAx>
        <c:axId val="40107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243760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396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07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97821324966"/>
          <c:y val="0.3921496792067658"/>
          <c:w val="0.55882521263789398"/>
          <c:h val="0.14488735783027121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88900"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 w="88900"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DA-4C7E-9664-FF0C4E42D43E}"/>
              </c:ext>
            </c:extLst>
          </c:dPt>
          <c:cat>
            <c:strRef>
              <c:f>'Results Charts'!$H$14:$H$20</c:f>
              <c:strCache>
                <c:ptCount val="7"/>
                <c:pt idx="0">
                  <c:v>NPV</c:v>
                </c:pt>
                <c:pt idx="1">
                  <c:v>Project CAPEX</c:v>
                </c:pt>
                <c:pt idx="2">
                  <c:v>O&amp;M Costs (net benefit)</c:v>
                </c:pt>
                <c:pt idx="3">
                  <c:v>Air Pollution Reduction</c:v>
                </c:pt>
                <c:pt idx="4">
                  <c:v>Crash &amp; Loss of Life Reduction</c:v>
                </c:pt>
                <c:pt idx="5">
                  <c:v>Pavement Damage Reduction</c:v>
                </c:pt>
                <c:pt idx="6">
                  <c:v>Transport Cost Reductions</c:v>
                </c:pt>
              </c:strCache>
            </c:strRef>
          </c:cat>
          <c:val>
            <c:numRef>
              <c:f>'Results Charts'!$I$14:$I$20</c:f>
              <c:numCache>
                <c:formatCode>0</c:formatCode>
                <c:ptCount val="7"/>
                <c:pt idx="0">
                  <c:v>1068.03904125799</c:v>
                </c:pt>
                <c:pt idx="1">
                  <c:v>-382.03597860422963</c:v>
                </c:pt>
                <c:pt idx="2">
                  <c:v>23.893810745545998</c:v>
                </c:pt>
                <c:pt idx="3">
                  <c:v>47.596170277102331</c:v>
                </c:pt>
                <c:pt idx="4">
                  <c:v>550.13833155942154</c:v>
                </c:pt>
                <c:pt idx="5">
                  <c:v>21.658187846656947</c:v>
                </c:pt>
                <c:pt idx="6">
                  <c:v>806.78851943349275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A-4C7E-9664-FF0C4E42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4774832"/>
        <c:axId val="414775816"/>
      </c:barChart>
      <c:catAx>
        <c:axId val="414774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775816"/>
        <c:crosses val="autoZero"/>
        <c:auto val="1"/>
        <c:lblAlgn val="ctr"/>
        <c:lblOffset val="100"/>
        <c:noMultiLvlLbl val="0"/>
      </c:catAx>
      <c:valAx>
        <c:axId val="414775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77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0</xdr:row>
      <xdr:rowOff>0</xdr:rowOff>
    </xdr:from>
    <xdr:to>
      <xdr:col>5</xdr:col>
      <xdr:colOff>286385</xdr:colOff>
      <xdr:row>0</xdr:row>
      <xdr:rowOff>1216025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389CB-400F-4B54-B722-37663656F7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3275" y="0"/>
          <a:ext cx="1642110" cy="121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62</xdr:row>
      <xdr:rowOff>138112</xdr:rowOff>
    </xdr:from>
    <xdr:to>
      <xdr:col>10</xdr:col>
      <xdr:colOff>285750</xdr:colOff>
      <xdr:row>77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128D2F-A8D2-4112-8217-15E1C718D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595312</xdr:colOff>
      <xdr:row>23</xdr:row>
      <xdr:rowOff>180975</xdr:rowOff>
    </xdr:from>
    <xdr:to>
      <xdr:col>9</xdr:col>
      <xdr:colOff>509587</xdr:colOff>
      <xdr:row>33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CB45DB-635F-4EC5-BAEC-168FED676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ndrea%20Swanson.DESKTOP-26KLOUE/Grant%20Farm%20Dropbox/MDrive/01_Clients/NWSA/Proposals/2020%20MARAD%20PIDP/05a%20App%20B1%20BCA%201%20(Base%20Case)/Appendix%20B1%20-%20NWSA%20MARAD%20PIDP%20BCA_BASE%20CASE%20ONLY_5.13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0_MODEL_BenefitSummary"/>
      <sheetName val="1_MODEL_assumptions"/>
      <sheetName val="2_MODEL_Costs"/>
      <sheetName val="3_MODEL_main"/>
      <sheetName val="Results Charts"/>
      <sheetName val="PARAMS"/>
      <sheetName val="BKGRD"/>
      <sheetName val="UNUSED4_MODELsub_ElecReferRacks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C23">
            <v>5.9</v>
          </cell>
        </row>
      </sheetData>
      <sheetData sheetId="7">
        <row r="66">
          <cell r="L66">
            <v>1.6910000000000001</v>
          </cell>
        </row>
        <row r="78">
          <cell r="M78">
            <v>4.2299999999999997E-2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rnl.gov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a.gov/sites/production/files/2016-07/engines_ci_pte_calculator_version_1.0_0.xlsx" TargetMode="External"/><Relationship Id="rId2" Type="http://schemas.openxmlformats.org/officeDocument/2006/relationships/hyperlink" Target="https://www.epa.gov/sites/production/files/2016-07/engines_ci_pte_calculator_version_1.0_0.xlsx" TargetMode="External"/><Relationship Id="rId1" Type="http://schemas.openxmlformats.org/officeDocument/2006/relationships/hyperlink" Target="https://www.epa.gov/sites/production/files/2016-07/engines_ci_pte_calculator_version_1.0_0.xlsx" TargetMode="External"/><Relationship Id="rId4" Type="http://schemas.openxmlformats.org/officeDocument/2006/relationships/hyperlink" Target="https://www.epa.gov/sites/production/files/2016-07/engines_ci_pte_calculator_version_1.0_0.xlsx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ruckingresearch.org/wp-content/uploads/2019/11/ATRI-Operational-Costs-of-Trucking-2019-1.pdf" TargetMode="External"/><Relationship Id="rId3" Type="http://schemas.openxmlformats.org/officeDocument/2006/relationships/hyperlink" Target="https://www.eia.gov/environment/emissions/co2_vol_mass.php" TargetMode="External"/><Relationship Id="rId7" Type="http://schemas.openxmlformats.org/officeDocument/2006/relationships/hyperlink" Target="https://www.eia.gov/environment/emissions/co2_vol_mass.php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www.bts.gov/content/combination-truck-fuel-consumption-and-travel" TargetMode="External"/><Relationship Id="rId1" Type="http://schemas.openxmlformats.org/officeDocument/2006/relationships/hyperlink" Target="https://atri-online.org/wp-content/uploads/2018/10/ATRI-Operational-Costs-of-Trucking-2018.pdf" TargetMode="External"/><Relationship Id="rId6" Type="http://schemas.openxmlformats.org/officeDocument/2006/relationships/hyperlink" Target="https://nepis.epa.gov/Exe/ZyPDF.cgi/P100500B.PDF?Dockey=P100500B.PDF" TargetMode="External"/><Relationship Id="rId11" Type="http://schemas.openxmlformats.org/officeDocument/2006/relationships/hyperlink" Target="https://www.transportation.gov/sites/dot.gov/files/docs/2016%20Revised%20Value%20of%20a%20Statistical%20Life%20Guidance.pdf)" TargetMode="External"/><Relationship Id="rId5" Type="http://schemas.openxmlformats.org/officeDocument/2006/relationships/hyperlink" Target="https://nepis.epa.gov/Exe/ZyPDF.cgi/P100500B.PDF?Dockey=P100500B.PDF" TargetMode="External"/><Relationship Id="rId10" Type="http://schemas.openxmlformats.org/officeDocument/2006/relationships/hyperlink" Target="https://www.transportation.gov/rural/rural-transportation-statistics" TargetMode="External"/><Relationship Id="rId4" Type="http://schemas.openxmlformats.org/officeDocument/2006/relationships/hyperlink" Target="https://www.cbo.gov/sites/default/files/114th-congress-2015-2016/workingpaper/50049-Freight_Transport_Working_Paper-2.pdf" TargetMode="External"/><Relationship Id="rId9" Type="http://schemas.openxmlformats.org/officeDocument/2006/relationships/hyperlink" Target="https://www.transportation.gov/rural/rural-transportation-statistic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ts.gov/content/average-freight-revenue-ton-mile" TargetMode="External"/><Relationship Id="rId1" Type="http://schemas.openxmlformats.org/officeDocument/2006/relationships/hyperlink" Target="https://atri-online.org/wp-content/uploads/2018/10/ATRI-Operational-Costs-of-Trucking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2476-2408-4A61-8512-C931205C273C}">
  <dimension ref="A1:I26"/>
  <sheetViews>
    <sheetView tabSelected="1" zoomScale="85" zoomScaleNormal="85" zoomScalePageLayoutView="55" workbookViewId="0">
      <selection activeCell="A19" sqref="A19:I19"/>
    </sheetView>
  </sheetViews>
  <sheetFormatPr baseColWidth="10" defaultColWidth="9.1640625" defaultRowHeight="15" x14ac:dyDescent="0.2"/>
  <cols>
    <col min="1" max="9" width="10" style="92" customWidth="1"/>
    <col min="10" max="16384" width="9.1640625" style="92"/>
  </cols>
  <sheetData>
    <row r="1" spans="1:9" ht="134.5" customHeight="1" x14ac:dyDescent="0.3">
      <c r="A1" s="111"/>
      <c r="B1" s="111"/>
      <c r="C1" s="111"/>
      <c r="D1" s="111"/>
      <c r="E1" s="111"/>
      <c r="F1" s="111"/>
      <c r="G1" s="111"/>
      <c r="H1" s="111"/>
      <c r="I1" s="111"/>
    </row>
    <row r="2" spans="1:9" x14ac:dyDescent="0.2">
      <c r="A2" s="93"/>
    </row>
    <row r="3" spans="1:9" s="94" customFormat="1" ht="24" x14ac:dyDescent="0.3">
      <c r="A3" s="112" t="s">
        <v>521</v>
      </c>
      <c r="B3" s="112"/>
      <c r="C3" s="112"/>
      <c r="D3" s="112"/>
      <c r="E3" s="112"/>
      <c r="F3" s="112"/>
      <c r="G3" s="112"/>
      <c r="H3" s="112"/>
      <c r="I3" s="112"/>
    </row>
    <row r="4" spans="1:9" s="94" customFormat="1" ht="24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s="94" customFormat="1" ht="24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7" spans="1:9" s="106" customFormat="1" ht="19" x14ac:dyDescent="0.25">
      <c r="A7" s="95" t="s">
        <v>529</v>
      </c>
      <c r="B7" s="105"/>
      <c r="C7" s="105"/>
      <c r="D7" s="105"/>
      <c r="E7" s="105"/>
      <c r="F7" s="105"/>
      <c r="G7" s="105"/>
      <c r="H7" s="105"/>
      <c r="I7" s="105"/>
    </row>
    <row r="8" spans="1:9" s="106" customFormat="1" ht="19" x14ac:dyDescent="0.25">
      <c r="A8" s="105" t="s">
        <v>530</v>
      </c>
      <c r="B8" s="105"/>
      <c r="C8" s="105"/>
      <c r="D8" s="105"/>
      <c r="E8" s="105"/>
      <c r="F8" s="105"/>
      <c r="G8" s="105"/>
      <c r="H8" s="105"/>
      <c r="I8" s="105"/>
    </row>
    <row r="9" spans="1:9" s="106" customFormat="1" ht="19" x14ac:dyDescent="0.25">
      <c r="A9" s="95" t="s">
        <v>531</v>
      </c>
      <c r="B9" s="105"/>
      <c r="C9" s="105"/>
      <c r="D9" s="105"/>
      <c r="E9" s="105"/>
      <c r="F9" s="105"/>
      <c r="G9" s="105"/>
      <c r="H9" s="105"/>
      <c r="I9" s="105"/>
    </row>
    <row r="11" spans="1:9" s="98" customFormat="1" ht="24" x14ac:dyDescent="0.3">
      <c r="A11" s="96" t="s">
        <v>523</v>
      </c>
      <c r="B11" s="97"/>
      <c r="C11" s="97"/>
      <c r="D11" s="97"/>
      <c r="E11" s="97"/>
      <c r="F11" s="97"/>
      <c r="G11" s="97"/>
      <c r="H11" s="97"/>
      <c r="I11" s="97"/>
    </row>
    <row r="12" spans="1:9" s="98" customFormat="1" ht="11" customHeight="1" x14ac:dyDescent="0.3">
      <c r="A12" s="98" t="s">
        <v>522</v>
      </c>
    </row>
    <row r="13" spans="1:9" s="98" customFormat="1" ht="25" x14ac:dyDescent="0.3">
      <c r="A13" s="99" t="s">
        <v>524</v>
      </c>
      <c r="B13" s="97"/>
      <c r="C13" s="97"/>
      <c r="D13" s="97"/>
      <c r="E13" s="97"/>
      <c r="F13" s="97"/>
      <c r="G13" s="97"/>
      <c r="H13" s="97"/>
      <c r="I13" s="97"/>
    </row>
    <row r="14" spans="1:9" s="98" customFormat="1" ht="24" x14ac:dyDescent="0.3"/>
    <row r="15" spans="1:9" s="98" customFormat="1" ht="24" x14ac:dyDescent="0.3">
      <c r="A15" s="109" t="s">
        <v>527</v>
      </c>
      <c r="E15" s="110" t="s">
        <v>528</v>
      </c>
    </row>
    <row r="19" spans="1:9" ht="68.5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</row>
    <row r="21" spans="1:9" x14ac:dyDescent="0.2">
      <c r="A21" s="100"/>
      <c r="B21" s="101"/>
    </row>
    <row r="24" spans="1:9" ht="19" x14ac:dyDescent="0.2">
      <c r="E24" s="102"/>
    </row>
    <row r="25" spans="1:9" ht="19" x14ac:dyDescent="0.2">
      <c r="E25" s="103"/>
    </row>
    <row r="26" spans="1:9" ht="16" x14ac:dyDescent="0.2">
      <c r="E26" s="104"/>
    </row>
  </sheetData>
  <mergeCells count="3">
    <mergeCell ref="A1:I1"/>
    <mergeCell ref="A3:I5"/>
    <mergeCell ref="A19:I1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F571-948D-4DAA-9FC0-6530F9670843}">
  <dimension ref="A1:T57"/>
  <sheetViews>
    <sheetView workbookViewId="0">
      <selection activeCell="B11" sqref="B11"/>
    </sheetView>
  </sheetViews>
  <sheetFormatPr baseColWidth="10" defaultColWidth="8.83203125" defaultRowHeight="15" x14ac:dyDescent="0.2"/>
  <cols>
    <col min="2" max="2" width="41" customWidth="1"/>
    <col min="4" max="4" width="12" customWidth="1"/>
    <col min="5" max="5" width="13" customWidth="1"/>
    <col min="7" max="7" width="11.33203125" customWidth="1"/>
    <col min="8" max="8" width="11.1640625" customWidth="1"/>
    <col min="10" max="10" width="10.5" customWidth="1"/>
    <col min="15" max="15" width="12.83203125" customWidth="1"/>
  </cols>
  <sheetData>
    <row r="1" spans="1:20" x14ac:dyDescent="0.2">
      <c r="A1" s="67" t="s">
        <v>483</v>
      </c>
    </row>
    <row r="2" spans="1:20" x14ac:dyDescent="0.2">
      <c r="A2" t="s">
        <v>177</v>
      </c>
    </row>
    <row r="3" spans="1:20" x14ac:dyDescent="0.2">
      <c r="B3" t="s">
        <v>178</v>
      </c>
    </row>
    <row r="4" spans="1:20" x14ac:dyDescent="0.2">
      <c r="B4" t="s">
        <v>179</v>
      </c>
    </row>
    <row r="5" spans="1:20" x14ac:dyDescent="0.2">
      <c r="B5" t="s">
        <v>180</v>
      </c>
    </row>
    <row r="6" spans="1:20" x14ac:dyDescent="0.2">
      <c r="G6" s="1" t="s">
        <v>217</v>
      </c>
      <c r="L6" s="7" t="s">
        <v>485</v>
      </c>
      <c r="R6" s="1" t="s">
        <v>241</v>
      </c>
    </row>
    <row r="7" spans="1:20" ht="44.25" customHeight="1" x14ac:dyDescent="0.2">
      <c r="A7" t="s">
        <v>181</v>
      </c>
      <c r="C7" s="34" t="s">
        <v>187</v>
      </c>
      <c r="D7" s="34" t="s">
        <v>191</v>
      </c>
      <c r="E7" s="34" t="s">
        <v>192</v>
      </c>
      <c r="F7" s="34" t="s">
        <v>188</v>
      </c>
      <c r="G7" s="34" t="s">
        <v>218</v>
      </c>
      <c r="H7" s="34" t="s">
        <v>222</v>
      </c>
      <c r="I7" s="34" t="s">
        <v>223</v>
      </c>
      <c r="J7" s="34" t="s">
        <v>224</v>
      </c>
      <c r="K7" s="34" t="s">
        <v>226</v>
      </c>
      <c r="L7" s="34" t="s">
        <v>227</v>
      </c>
      <c r="M7" s="34" t="s">
        <v>230</v>
      </c>
      <c r="N7" s="34" t="s">
        <v>232</v>
      </c>
      <c r="O7" s="34" t="s">
        <v>234</v>
      </c>
      <c r="P7" s="34" t="s">
        <v>235</v>
      </c>
      <c r="Q7" s="34" t="s">
        <v>236</v>
      </c>
      <c r="R7" s="34" t="s">
        <v>238</v>
      </c>
      <c r="S7" s="34" t="s">
        <v>239</v>
      </c>
      <c r="T7" s="34" t="s">
        <v>240</v>
      </c>
    </row>
    <row r="8" spans="1:20" x14ac:dyDescent="0.2">
      <c r="B8" t="s">
        <v>182</v>
      </c>
      <c r="C8" t="s">
        <v>158</v>
      </c>
      <c r="D8" t="s">
        <v>189</v>
      </c>
      <c r="E8" t="s">
        <v>158</v>
      </c>
      <c r="F8" t="s">
        <v>189</v>
      </c>
      <c r="G8" t="s">
        <v>158</v>
      </c>
      <c r="H8" t="s">
        <v>158</v>
      </c>
      <c r="J8" t="s">
        <v>158</v>
      </c>
      <c r="K8" t="s">
        <v>158</v>
      </c>
      <c r="L8" t="s">
        <v>189</v>
      </c>
      <c r="M8" t="s">
        <v>231</v>
      </c>
      <c r="N8" t="s">
        <v>233</v>
      </c>
      <c r="O8" t="s">
        <v>233</v>
      </c>
      <c r="P8" t="s">
        <v>233</v>
      </c>
      <c r="Q8" t="s">
        <v>233</v>
      </c>
      <c r="R8" t="s">
        <v>158</v>
      </c>
      <c r="S8" t="s">
        <v>158</v>
      </c>
      <c r="T8" t="s">
        <v>189</v>
      </c>
    </row>
    <row r="9" spans="1:20" x14ac:dyDescent="0.2">
      <c r="B9" t="s">
        <v>183</v>
      </c>
      <c r="C9" t="s">
        <v>158</v>
      </c>
      <c r="D9" t="s">
        <v>189</v>
      </c>
      <c r="E9" t="s">
        <v>189</v>
      </c>
      <c r="F9" t="s">
        <v>158</v>
      </c>
      <c r="G9" t="s">
        <v>220</v>
      </c>
      <c r="H9" t="s">
        <v>220</v>
      </c>
      <c r="J9" t="s">
        <v>189</v>
      </c>
      <c r="K9" t="s">
        <v>189</v>
      </c>
      <c r="L9" t="s">
        <v>228</v>
      </c>
      <c r="N9" t="s">
        <v>233</v>
      </c>
      <c r="O9" t="s">
        <v>233</v>
      </c>
      <c r="P9" t="s">
        <v>158</v>
      </c>
      <c r="Q9" t="s">
        <v>233</v>
      </c>
      <c r="R9" t="s">
        <v>158</v>
      </c>
      <c r="S9" t="s">
        <v>158</v>
      </c>
      <c r="T9" t="s">
        <v>189</v>
      </c>
    </row>
    <row r="10" spans="1:20" x14ac:dyDescent="0.2">
      <c r="B10" t="s">
        <v>501</v>
      </c>
      <c r="C10" t="s">
        <v>158</v>
      </c>
      <c r="D10" t="s">
        <v>158</v>
      </c>
      <c r="E10" t="s">
        <v>158</v>
      </c>
      <c r="F10" t="s">
        <v>158</v>
      </c>
      <c r="G10" t="s">
        <v>158</v>
      </c>
      <c r="H10" t="s">
        <v>158</v>
      </c>
      <c r="I10" t="s">
        <v>189</v>
      </c>
      <c r="J10" t="s">
        <v>158</v>
      </c>
      <c r="K10" t="s">
        <v>158</v>
      </c>
      <c r="L10" t="s">
        <v>189</v>
      </c>
      <c r="N10" t="s">
        <v>233</v>
      </c>
      <c r="O10" t="s">
        <v>233</v>
      </c>
      <c r="P10" t="s">
        <v>233</v>
      </c>
      <c r="Q10" t="s">
        <v>233</v>
      </c>
      <c r="R10" t="s">
        <v>158</v>
      </c>
      <c r="S10" t="s">
        <v>158</v>
      </c>
      <c r="T10" t="s">
        <v>189</v>
      </c>
    </row>
    <row r="11" spans="1:20" x14ac:dyDescent="0.2">
      <c r="B11" t="s">
        <v>2</v>
      </c>
      <c r="C11" t="s">
        <v>158</v>
      </c>
      <c r="D11" t="s">
        <v>189</v>
      </c>
      <c r="E11" t="s">
        <v>158</v>
      </c>
      <c r="F11" t="s">
        <v>189</v>
      </c>
      <c r="G11" t="s">
        <v>158</v>
      </c>
      <c r="H11" t="s">
        <v>158</v>
      </c>
      <c r="I11" t="s">
        <v>158</v>
      </c>
      <c r="J11" t="s">
        <v>158</v>
      </c>
      <c r="K11" t="s">
        <v>158</v>
      </c>
      <c r="L11" t="s">
        <v>189</v>
      </c>
      <c r="M11" t="s">
        <v>231</v>
      </c>
      <c r="N11" t="s">
        <v>233</v>
      </c>
      <c r="O11" t="s">
        <v>233</v>
      </c>
      <c r="P11" t="s">
        <v>233</v>
      </c>
      <c r="Q11" t="s">
        <v>233</v>
      </c>
      <c r="R11" t="s">
        <v>158</v>
      </c>
      <c r="S11" t="s">
        <v>158</v>
      </c>
      <c r="T11" t="s">
        <v>189</v>
      </c>
    </row>
    <row r="12" spans="1:20" x14ac:dyDescent="0.2">
      <c r="B12" t="s">
        <v>219</v>
      </c>
      <c r="C12" t="s">
        <v>158</v>
      </c>
      <c r="D12" t="s">
        <v>158</v>
      </c>
      <c r="E12" t="s">
        <v>158</v>
      </c>
      <c r="F12" t="s">
        <v>189</v>
      </c>
      <c r="G12" t="s">
        <v>158</v>
      </c>
      <c r="H12" t="s">
        <v>158</v>
      </c>
      <c r="I12" t="s">
        <v>158</v>
      </c>
      <c r="J12" t="s">
        <v>158</v>
      </c>
      <c r="K12" t="s">
        <v>158</v>
      </c>
      <c r="L12" t="s">
        <v>189</v>
      </c>
      <c r="N12" t="s">
        <v>233</v>
      </c>
      <c r="O12" t="s">
        <v>233</v>
      </c>
      <c r="P12" t="s">
        <v>233</v>
      </c>
      <c r="Q12" t="s">
        <v>233</v>
      </c>
      <c r="R12" t="s">
        <v>158</v>
      </c>
      <c r="S12" t="s">
        <v>158</v>
      </c>
      <c r="T12" t="s">
        <v>189</v>
      </c>
    </row>
    <row r="13" spans="1:20" x14ac:dyDescent="0.2">
      <c r="B13" s="16" t="s">
        <v>7</v>
      </c>
      <c r="G13" t="s">
        <v>221</v>
      </c>
      <c r="J13" t="s">
        <v>225</v>
      </c>
      <c r="L13" t="s">
        <v>229</v>
      </c>
      <c r="N13" t="s">
        <v>355</v>
      </c>
      <c r="P13" t="s">
        <v>233</v>
      </c>
      <c r="Q13" t="s">
        <v>233</v>
      </c>
      <c r="R13" t="s">
        <v>158</v>
      </c>
      <c r="S13" t="s">
        <v>158</v>
      </c>
      <c r="T13" t="s">
        <v>189</v>
      </c>
    </row>
    <row r="14" spans="1:20" x14ac:dyDescent="0.2">
      <c r="A14" t="s">
        <v>193</v>
      </c>
    </row>
    <row r="15" spans="1:20" x14ac:dyDescent="0.2">
      <c r="B15" t="s">
        <v>194</v>
      </c>
    </row>
    <row r="16" spans="1:20" x14ac:dyDescent="0.2">
      <c r="B16" t="s">
        <v>195</v>
      </c>
    </row>
    <row r="17" spans="1:3" x14ac:dyDescent="0.2">
      <c r="B17" t="s">
        <v>196</v>
      </c>
    </row>
    <row r="18" spans="1:3" x14ac:dyDescent="0.2">
      <c r="B18" t="s">
        <v>197</v>
      </c>
    </row>
    <row r="20" spans="1:3" x14ac:dyDescent="0.2">
      <c r="A20" t="s">
        <v>198</v>
      </c>
    </row>
    <row r="21" spans="1:3" x14ac:dyDescent="0.2">
      <c r="B21" t="s">
        <v>199</v>
      </c>
    </row>
    <row r="22" spans="1:3" x14ac:dyDescent="0.2">
      <c r="B22" t="s">
        <v>200</v>
      </c>
    </row>
    <row r="24" spans="1:3" x14ac:dyDescent="0.2">
      <c r="A24" t="s">
        <v>201</v>
      </c>
    </row>
    <row r="25" spans="1:3" x14ac:dyDescent="0.2">
      <c r="B25" t="s">
        <v>202</v>
      </c>
      <c r="C25" s="5">
        <v>7.0000000000000007E-2</v>
      </c>
    </row>
    <row r="27" spans="1:3" x14ac:dyDescent="0.2">
      <c r="A27" t="s">
        <v>203</v>
      </c>
    </row>
    <row r="28" spans="1:3" x14ac:dyDescent="0.2">
      <c r="B28" t="s">
        <v>204</v>
      </c>
      <c r="C28">
        <v>2020</v>
      </c>
    </row>
    <row r="29" spans="1:3" x14ac:dyDescent="0.2">
      <c r="B29" t="s">
        <v>205</v>
      </c>
      <c r="C29">
        <v>2024</v>
      </c>
    </row>
    <row r="30" spans="1:3" x14ac:dyDescent="0.2">
      <c r="B30" t="s">
        <v>206</v>
      </c>
      <c r="C30">
        <v>20</v>
      </c>
    </row>
    <row r="31" spans="1:3" x14ac:dyDescent="0.2">
      <c r="B31" t="s">
        <v>207</v>
      </c>
      <c r="C31" t="s">
        <v>208</v>
      </c>
    </row>
    <row r="33" spans="1:16" x14ac:dyDescent="0.2">
      <c r="A33" t="s">
        <v>209</v>
      </c>
      <c r="J33" s="19"/>
      <c r="K33" s="19"/>
      <c r="L33" s="19"/>
      <c r="M33" s="19"/>
      <c r="N33" s="19"/>
      <c r="O33" s="19"/>
      <c r="P33" s="19"/>
    </row>
    <row r="34" spans="1:16" x14ac:dyDescent="0.2">
      <c r="B34" t="s">
        <v>210</v>
      </c>
      <c r="J34" s="19"/>
      <c r="K34" s="19"/>
      <c r="L34" s="19"/>
      <c r="M34" s="19"/>
      <c r="N34" s="19"/>
      <c r="O34" s="19"/>
      <c r="P34" s="19"/>
    </row>
    <row r="35" spans="1:16" x14ac:dyDescent="0.2">
      <c r="C35" t="s">
        <v>182</v>
      </c>
      <c r="J35" s="19"/>
      <c r="K35" s="19"/>
      <c r="L35" s="19"/>
      <c r="M35" s="19"/>
      <c r="N35" s="19"/>
      <c r="O35" s="19"/>
      <c r="P35" s="19"/>
    </row>
    <row r="36" spans="1:16" x14ac:dyDescent="0.2">
      <c r="C36" t="s">
        <v>183</v>
      </c>
      <c r="J36" s="19"/>
      <c r="K36" s="19"/>
      <c r="L36" s="19"/>
      <c r="M36" s="19"/>
      <c r="N36" s="19"/>
      <c r="O36" s="19"/>
      <c r="P36" s="19"/>
    </row>
    <row r="37" spans="1:16" x14ac:dyDescent="0.2">
      <c r="C37" t="s">
        <v>184</v>
      </c>
      <c r="J37" s="19"/>
      <c r="K37" s="19"/>
      <c r="L37" s="19"/>
      <c r="M37" s="19"/>
      <c r="N37" s="19"/>
      <c r="O37" s="19"/>
      <c r="P37" s="19"/>
    </row>
    <row r="38" spans="1:16" x14ac:dyDescent="0.2">
      <c r="C38" t="s">
        <v>2</v>
      </c>
      <c r="J38" s="19"/>
      <c r="K38" s="19"/>
      <c r="L38" s="19"/>
      <c r="M38" s="19"/>
      <c r="N38" s="19"/>
      <c r="O38" s="19"/>
      <c r="P38" s="19"/>
    </row>
    <row r="39" spans="1:16" x14ac:dyDescent="0.2">
      <c r="C39" t="s">
        <v>185</v>
      </c>
      <c r="J39" s="19"/>
      <c r="K39" s="19"/>
      <c r="L39" s="19"/>
      <c r="M39" s="19"/>
      <c r="N39" s="19"/>
      <c r="O39" s="19"/>
      <c r="P39" s="19"/>
    </row>
    <row r="40" spans="1:16" x14ac:dyDescent="0.2">
      <c r="C40" t="s">
        <v>186</v>
      </c>
      <c r="J40" s="19"/>
      <c r="K40" s="19"/>
      <c r="L40" s="19"/>
      <c r="M40" s="19"/>
      <c r="N40" s="19"/>
      <c r="O40" s="19"/>
      <c r="P40" s="19"/>
    </row>
    <row r="41" spans="1:16" x14ac:dyDescent="0.2">
      <c r="B41" t="s">
        <v>216</v>
      </c>
      <c r="J41" s="19"/>
      <c r="K41" s="19"/>
      <c r="L41" s="19"/>
      <c r="M41" s="19"/>
      <c r="N41" s="19"/>
      <c r="O41" s="19"/>
      <c r="P41" s="19"/>
    </row>
    <row r="42" spans="1:16" x14ac:dyDescent="0.2">
      <c r="C42" s="35" t="s">
        <v>211</v>
      </c>
      <c r="J42" s="19"/>
      <c r="K42" s="19"/>
      <c r="L42" s="19"/>
      <c r="M42" s="19"/>
      <c r="N42" s="19"/>
      <c r="O42" s="19"/>
      <c r="P42" s="19"/>
    </row>
    <row r="43" spans="1:16" x14ac:dyDescent="0.2">
      <c r="C43" s="35" t="s">
        <v>212</v>
      </c>
      <c r="J43" s="19"/>
      <c r="K43" s="19"/>
      <c r="L43" s="19"/>
      <c r="M43" s="19"/>
      <c r="N43" s="19"/>
      <c r="O43" s="19"/>
      <c r="P43" s="19"/>
    </row>
    <row r="44" spans="1:16" x14ac:dyDescent="0.2">
      <c r="C44" s="35" t="s">
        <v>213</v>
      </c>
      <c r="J44" s="19"/>
      <c r="K44" s="19"/>
      <c r="L44" s="19"/>
      <c r="M44" s="19"/>
      <c r="N44" s="19"/>
      <c r="O44" s="19"/>
      <c r="P44" s="19"/>
    </row>
    <row r="45" spans="1:16" x14ac:dyDescent="0.2">
      <c r="C45" s="35" t="s">
        <v>214</v>
      </c>
      <c r="J45" s="19"/>
      <c r="K45" s="19"/>
      <c r="L45" s="19"/>
      <c r="M45" s="19"/>
      <c r="N45" s="19"/>
      <c r="O45" s="19"/>
      <c r="P45" s="19"/>
    </row>
    <row r="46" spans="1:16" x14ac:dyDescent="0.2">
      <c r="C46" s="35" t="s">
        <v>215</v>
      </c>
      <c r="J46" s="19"/>
      <c r="K46" s="19"/>
      <c r="L46" s="19"/>
      <c r="M46" s="19"/>
      <c r="N46" s="19"/>
      <c r="O46" s="19"/>
      <c r="P46" s="19"/>
    </row>
    <row r="47" spans="1:16" x14ac:dyDescent="0.2">
      <c r="C47" s="36"/>
    </row>
    <row r="48" spans="1:16" x14ac:dyDescent="0.2">
      <c r="A48" t="s">
        <v>242</v>
      </c>
      <c r="C48" s="35" t="s">
        <v>482</v>
      </c>
    </row>
    <row r="50" spans="1:3" x14ac:dyDescent="0.2">
      <c r="A50" t="s">
        <v>243</v>
      </c>
    </row>
    <row r="51" spans="1:3" x14ac:dyDescent="0.2">
      <c r="B51" t="s">
        <v>244</v>
      </c>
      <c r="C51" t="s">
        <v>245</v>
      </c>
    </row>
    <row r="52" spans="1:3" x14ac:dyDescent="0.2">
      <c r="B52" t="s">
        <v>237</v>
      </c>
      <c r="C52" t="s">
        <v>246</v>
      </c>
    </row>
    <row r="54" spans="1:3" x14ac:dyDescent="0.2">
      <c r="A54" t="s">
        <v>247</v>
      </c>
    </row>
    <row r="55" spans="1:3" x14ac:dyDescent="0.2">
      <c r="B55" t="s">
        <v>248</v>
      </c>
    </row>
    <row r="56" spans="1:3" x14ac:dyDescent="0.2">
      <c r="B56" t="s">
        <v>249</v>
      </c>
    </row>
    <row r="57" spans="1:3" x14ac:dyDescent="0.2">
      <c r="B57" t="s">
        <v>250</v>
      </c>
      <c r="C57" t="s">
        <v>251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27C-98D2-4BC0-8FA7-E48FEA5617D7}">
  <dimension ref="A1:AH20"/>
  <sheetViews>
    <sheetView workbookViewId="0"/>
  </sheetViews>
  <sheetFormatPr baseColWidth="10" defaultColWidth="8.83203125" defaultRowHeight="15" x14ac:dyDescent="0.2"/>
  <cols>
    <col min="4" max="4" width="29.33203125" customWidth="1"/>
    <col min="5" max="5" width="9.1640625" customWidth="1"/>
    <col min="6" max="6" width="26.1640625" customWidth="1"/>
    <col min="7" max="7" width="22.6640625" customWidth="1"/>
    <col min="8" max="33" width="14.1640625" customWidth="1"/>
    <col min="34" max="34" width="14.1640625" style="66" customWidth="1"/>
  </cols>
  <sheetData>
    <row r="1" spans="1:34" s="66" customFormat="1" x14ac:dyDescent="0.2">
      <c r="A1" s="67" t="s">
        <v>478</v>
      </c>
      <c r="H1" s="66">
        <v>0</v>
      </c>
      <c r="I1" s="66">
        <v>0</v>
      </c>
      <c r="J1" s="66">
        <f t="shared" ref="J1:AH1" si="0">I1+1</f>
        <v>1</v>
      </c>
      <c r="K1" s="66">
        <f t="shared" si="0"/>
        <v>2</v>
      </c>
      <c r="L1" s="66">
        <f t="shared" si="0"/>
        <v>3</v>
      </c>
      <c r="M1" s="66">
        <f t="shared" si="0"/>
        <v>4</v>
      </c>
      <c r="N1" s="66">
        <f t="shared" si="0"/>
        <v>5</v>
      </c>
      <c r="O1" s="66">
        <f t="shared" si="0"/>
        <v>6</v>
      </c>
      <c r="P1" s="66">
        <f t="shared" si="0"/>
        <v>7</v>
      </c>
      <c r="Q1" s="66">
        <f t="shared" si="0"/>
        <v>8</v>
      </c>
      <c r="R1" s="66">
        <f t="shared" si="0"/>
        <v>9</v>
      </c>
      <c r="S1" s="66">
        <f t="shared" si="0"/>
        <v>10</v>
      </c>
      <c r="T1" s="66">
        <f t="shared" si="0"/>
        <v>11</v>
      </c>
      <c r="U1" s="66">
        <f t="shared" si="0"/>
        <v>12</v>
      </c>
      <c r="V1" s="66">
        <f t="shared" si="0"/>
        <v>13</v>
      </c>
      <c r="W1" s="66">
        <f t="shared" si="0"/>
        <v>14</v>
      </c>
      <c r="X1" s="66">
        <f t="shared" si="0"/>
        <v>15</v>
      </c>
      <c r="Y1" s="66">
        <f t="shared" si="0"/>
        <v>16</v>
      </c>
      <c r="Z1" s="66">
        <f t="shared" si="0"/>
        <v>17</v>
      </c>
      <c r="AA1" s="66">
        <f t="shared" si="0"/>
        <v>18</v>
      </c>
      <c r="AB1" s="66">
        <f t="shared" si="0"/>
        <v>19</v>
      </c>
      <c r="AC1" s="66">
        <f t="shared" si="0"/>
        <v>20</v>
      </c>
      <c r="AD1" s="66">
        <f t="shared" si="0"/>
        <v>21</v>
      </c>
      <c r="AE1" s="66">
        <f t="shared" si="0"/>
        <v>22</v>
      </c>
      <c r="AF1" s="66">
        <f t="shared" si="0"/>
        <v>23</v>
      </c>
      <c r="AG1" s="66">
        <f t="shared" si="0"/>
        <v>24</v>
      </c>
      <c r="AH1" s="66">
        <f t="shared" si="0"/>
        <v>25</v>
      </c>
    </row>
    <row r="2" spans="1:34" s="67" customFormat="1" x14ac:dyDescent="0.2">
      <c r="E2" s="67" t="s">
        <v>6</v>
      </c>
      <c r="F2" s="67" t="s">
        <v>7</v>
      </c>
      <c r="H2" s="67">
        <v>2019</v>
      </c>
      <c r="I2" s="67">
        <v>2020</v>
      </c>
      <c r="J2" s="67">
        <f t="shared" ref="J2:AH2" si="1">I2+1</f>
        <v>2021</v>
      </c>
      <c r="K2" s="67">
        <f t="shared" si="1"/>
        <v>2022</v>
      </c>
      <c r="L2" s="67">
        <f t="shared" si="1"/>
        <v>2023</v>
      </c>
      <c r="M2" s="67">
        <f t="shared" si="1"/>
        <v>2024</v>
      </c>
      <c r="N2" s="67">
        <f t="shared" si="1"/>
        <v>2025</v>
      </c>
      <c r="O2" s="67">
        <f t="shared" si="1"/>
        <v>2026</v>
      </c>
      <c r="P2" s="67">
        <f t="shared" si="1"/>
        <v>2027</v>
      </c>
      <c r="Q2" s="67">
        <f t="shared" si="1"/>
        <v>2028</v>
      </c>
      <c r="R2" s="67">
        <f t="shared" si="1"/>
        <v>2029</v>
      </c>
      <c r="S2" s="67">
        <f t="shared" si="1"/>
        <v>2030</v>
      </c>
      <c r="T2" s="67">
        <f t="shared" si="1"/>
        <v>2031</v>
      </c>
      <c r="U2" s="67">
        <f t="shared" si="1"/>
        <v>2032</v>
      </c>
      <c r="V2" s="67">
        <f t="shared" si="1"/>
        <v>2033</v>
      </c>
      <c r="W2" s="67">
        <f t="shared" si="1"/>
        <v>2034</v>
      </c>
      <c r="X2" s="67">
        <f t="shared" si="1"/>
        <v>2035</v>
      </c>
      <c r="Y2" s="67">
        <f t="shared" si="1"/>
        <v>2036</v>
      </c>
      <c r="Z2" s="67">
        <f t="shared" si="1"/>
        <v>2037</v>
      </c>
      <c r="AA2" s="67">
        <f t="shared" si="1"/>
        <v>2038</v>
      </c>
      <c r="AB2" s="67">
        <f t="shared" si="1"/>
        <v>2039</v>
      </c>
      <c r="AC2" s="67">
        <f t="shared" si="1"/>
        <v>2040</v>
      </c>
      <c r="AD2" s="67">
        <f t="shared" si="1"/>
        <v>2041</v>
      </c>
      <c r="AE2" s="67">
        <f t="shared" si="1"/>
        <v>2042</v>
      </c>
      <c r="AF2" s="67">
        <f t="shared" si="1"/>
        <v>2043</v>
      </c>
      <c r="AG2" s="67">
        <f t="shared" si="1"/>
        <v>2044</v>
      </c>
      <c r="AH2" s="67">
        <f t="shared" si="1"/>
        <v>2045</v>
      </c>
    </row>
    <row r="3" spans="1:34" x14ac:dyDescent="0.2">
      <c r="A3" s="1" t="s">
        <v>401</v>
      </c>
      <c r="D3" s="3" t="s">
        <v>397</v>
      </c>
      <c r="G3" s="3" t="s">
        <v>397</v>
      </c>
    </row>
    <row r="4" spans="1:34" x14ac:dyDescent="0.2">
      <c r="C4" t="s">
        <v>156</v>
      </c>
      <c r="D4" t="s">
        <v>356</v>
      </c>
      <c r="E4" t="s">
        <v>171</v>
      </c>
      <c r="F4" s="45" t="s">
        <v>307</v>
      </c>
      <c r="G4" s="26">
        <f>'3_MODEL_main'!G44</f>
        <v>638686425.09215093</v>
      </c>
      <c r="I4" s="26">
        <f>'3_MODEL_main'!I44</f>
        <v>0</v>
      </c>
      <c r="J4" s="26">
        <f>'3_MODEL_main'!J44</f>
        <v>2826325.5323658441</v>
      </c>
      <c r="K4" s="26">
        <f>'3_MODEL_main'!K44</f>
        <v>5491074.4013903728</v>
      </c>
      <c r="L4" s="26">
        <f>'3_MODEL_main'!L44</f>
        <v>6433276.0710094534</v>
      </c>
      <c r="M4" s="26">
        <f>'3_MODEL_main'!M44</f>
        <v>30712469.002873518</v>
      </c>
      <c r="N4" s="26">
        <f>'3_MODEL_main'!N44</f>
        <v>40253392.853325032</v>
      </c>
      <c r="O4" s="26">
        <f>'3_MODEL_main'!O44</f>
        <v>43113236.70000498</v>
      </c>
      <c r="P4" s="26">
        <f>'3_MODEL_main'!P44</f>
        <v>42241596.157845289</v>
      </c>
      <c r="Q4" s="26">
        <f>'3_MODEL_main'!Q44</f>
        <v>41299483.865651093</v>
      </c>
      <c r="R4" s="26">
        <f>'3_MODEL_main'!R44</f>
        <v>40299850.916803256</v>
      </c>
      <c r="S4" s="26">
        <f>'3_MODEL_main'!S44</f>
        <v>39254255.477603175</v>
      </c>
      <c r="T4" s="26">
        <f>'3_MODEL_main'!T44</f>
        <v>37903007.713822931</v>
      </c>
      <c r="U4" s="26">
        <f>'3_MODEL_main'!U44</f>
        <v>35046639.228015974</v>
      </c>
      <c r="V4" s="26">
        <f>'3_MODEL_main'!V44</f>
        <v>32401782.019504998</v>
      </c>
      <c r="W4" s="26">
        <f>'3_MODEL_main'!W44</f>
        <v>29952986.543562509</v>
      </c>
      <c r="X4" s="26">
        <f>'3_MODEL_main'!X44</f>
        <v>27685919.454728596</v>
      </c>
      <c r="Y4" s="26">
        <f>'3_MODEL_main'!Y44</f>
        <v>25587283.683777343</v>
      </c>
      <c r="Z4" s="26">
        <f>'3_MODEL_main'!Z44</f>
        <v>23644744.194737472</v>
      </c>
      <c r="AA4" s="26">
        <f>'3_MODEL_main'!AA44</f>
        <v>21846859.02084098</v>
      </c>
      <c r="AB4" s="26">
        <f>'3_MODEL_main'!AB44</f>
        <v>20183015.206447922</v>
      </c>
      <c r="AC4" s="26">
        <f>'3_MODEL_main'!AC44</f>
        <v>18643369.308199465</v>
      </c>
      <c r="AD4" s="26">
        <f>'3_MODEL_main'!AD44</f>
        <v>17218792.133023795</v>
      </c>
      <c r="AE4" s="26">
        <f>'3_MODEL_main'!AE44</f>
        <v>15900817.413286272</v>
      </c>
      <c r="AF4" s="26">
        <f>'3_MODEL_main'!AF44</f>
        <v>14681594.140456652</v>
      </c>
      <c r="AG4" s="26">
        <f>'3_MODEL_main'!AG44</f>
        <v>13553842.29827144</v>
      </c>
      <c r="AH4" s="26">
        <f>'3_MODEL_main'!AH44</f>
        <v>12510811.754602347</v>
      </c>
    </row>
    <row r="5" spans="1:34" x14ac:dyDescent="0.2">
      <c r="C5" t="s">
        <v>294</v>
      </c>
      <c r="D5" t="s">
        <v>356</v>
      </c>
      <c r="E5" s="66" t="s">
        <v>171</v>
      </c>
      <c r="G5" s="26">
        <f>'3_MODEL_main'!G62</f>
        <v>168102094.34134188</v>
      </c>
      <c r="I5" s="26">
        <f>'3_MODEL_main'!I62</f>
        <v>0</v>
      </c>
      <c r="J5" s="26">
        <f>'3_MODEL_main'!J62</f>
        <v>743888.11569395207</v>
      </c>
      <c r="K5" s="26">
        <f>'3_MODEL_main'!K62</f>
        <v>1445249.2972974514</v>
      </c>
      <c r="L5" s="26">
        <f>'3_MODEL_main'!L62</f>
        <v>1693236.5219077507</v>
      </c>
      <c r="M5" s="26">
        <f>'3_MODEL_main'!M62</f>
        <v>8083513.5348800952</v>
      </c>
      <c r="N5" s="26">
        <f>'3_MODEL_main'!N62</f>
        <v>10594682.111824181</v>
      </c>
      <c r="O5" s="26">
        <f>'3_MODEL_main'!O62</f>
        <v>11347392.23878004</v>
      </c>
      <c r="P5" s="26">
        <f>'3_MODEL_main'!P62</f>
        <v>11117976.683832671</v>
      </c>
      <c r="Q5" s="26">
        <f>'3_MODEL_main'!Q62</f>
        <v>10870012.98333643</v>
      </c>
      <c r="R5" s="26">
        <f>'3_MODEL_main'!R62</f>
        <v>10606909.861566324</v>
      </c>
      <c r="S5" s="26">
        <f>'3_MODEL_main'!S62</f>
        <v>10331709.424766796</v>
      </c>
      <c r="T5" s="26">
        <f>'3_MODEL_main'!T62</f>
        <v>9976061.378806306</v>
      </c>
      <c r="U5" s="26">
        <f>'3_MODEL_main'!U62</f>
        <v>9224265.9658922479</v>
      </c>
      <c r="V5" s="26">
        <f>'3_MODEL_main'!V62</f>
        <v>8528140.2639559004</v>
      </c>
      <c r="W5" s="26">
        <f>'3_MODEL_main'!W62</f>
        <v>7883617.9570035599</v>
      </c>
      <c r="X5" s="26">
        <f>'3_MODEL_main'!X62</f>
        <v>7286926.5123868622</v>
      </c>
      <c r="Y5" s="26">
        <f>'3_MODEL_main'!Y62</f>
        <v>6734566.1450819494</v>
      </c>
      <c r="Z5" s="26">
        <f>'3_MODEL_main'!Z62</f>
        <v>6223290.2769573871</v>
      </c>
      <c r="AA5" s="26">
        <f>'3_MODEL_main'!AA62</f>
        <v>5750087.3854544992</v>
      </c>
      <c r="AB5" s="26">
        <f>'3_MODEL_main'!AB62</f>
        <v>5312164.1435192963</v>
      </c>
      <c r="AC5" s="26">
        <f>'3_MODEL_main'!AC62</f>
        <v>4906929.7595220488</v>
      </c>
      <c r="AD5" s="26">
        <f>'3_MODEL_main'!AD62</f>
        <v>4531981.4323153906</v>
      </c>
      <c r="AE5" s="26">
        <f>'3_MODEL_main'!AE62</f>
        <v>4185090.8425477203</v>
      </c>
      <c r="AF5" s="26">
        <f>'3_MODEL_main'!AF62</f>
        <v>3864191.6068973108</v>
      </c>
      <c r="AG5" s="26">
        <f>'3_MODEL_main'!AG62</f>
        <v>3567367.6270526033</v>
      </c>
      <c r="AH5" s="26">
        <f>'3_MODEL_main'!AH62</f>
        <v>3292842.2700631139</v>
      </c>
    </row>
    <row r="6" spans="1:34" x14ac:dyDescent="0.2">
      <c r="C6" t="s">
        <v>156</v>
      </c>
      <c r="D6" t="s">
        <v>398</v>
      </c>
      <c r="E6" s="66" t="s">
        <v>171</v>
      </c>
      <c r="G6" s="60">
        <f>'3_MODEL_main'!G71</f>
        <v>21658187.846656948</v>
      </c>
      <c r="I6" s="60">
        <f>'3_MODEL_main'!I71</f>
        <v>0</v>
      </c>
      <c r="J6" s="60">
        <f>'3_MODEL_main'!J71</f>
        <v>95842.164309269952</v>
      </c>
      <c r="K6" s="60">
        <f>'3_MODEL_main'!K71</f>
        <v>186205.18018387989</v>
      </c>
      <c r="L6" s="60">
        <f>'3_MODEL_main'!L71</f>
        <v>218155.72735121573</v>
      </c>
      <c r="M6" s="60">
        <f>'3_MODEL_main'!M71</f>
        <v>1041475.7489215315</v>
      </c>
      <c r="N6" s="60">
        <f>'3_MODEL_main'!N71</f>
        <v>1365013.4238516258</v>
      </c>
      <c r="O6" s="60">
        <f>'3_MODEL_main'!O71</f>
        <v>1461992.2115792085</v>
      </c>
      <c r="P6" s="60">
        <f>'3_MODEL_main'!P71</f>
        <v>1432434.4288313871</v>
      </c>
      <c r="Q6" s="60">
        <f>'3_MODEL_main'!Q71</f>
        <v>1400486.9124988727</v>
      </c>
      <c r="R6" s="60">
        <f>'3_MODEL_main'!R71</f>
        <v>1366588.8408736144</v>
      </c>
      <c r="S6" s="60">
        <f>'3_MODEL_main'!S71</f>
        <v>1331132.1573680339</v>
      </c>
      <c r="T6" s="60">
        <f>'3_MODEL_main'!T71</f>
        <v>1285310.64504905</v>
      </c>
      <c r="U6" s="60">
        <f>'3_MODEL_main'!U71</f>
        <v>1188449.7086107156</v>
      </c>
      <c r="V6" s="60">
        <f>'3_MODEL_main'!V71</f>
        <v>1098761.2292583471</v>
      </c>
      <c r="W6" s="60">
        <f>'3_MODEL_main'!W71</f>
        <v>1015721.3049193349</v>
      </c>
      <c r="X6" s="60">
        <f>'3_MODEL_main'!X71</f>
        <v>938843.88441700593</v>
      </c>
      <c r="Y6" s="60">
        <f>'3_MODEL_main'!Y71</f>
        <v>867678.05723911023</v>
      </c>
      <c r="Z6" s="60">
        <f>'3_MODEL_main'!Z71</f>
        <v>801805.53591989737</v>
      </c>
      <c r="AA6" s="60">
        <f>'3_MODEL_main'!AA71</f>
        <v>740838.31743337412</v>
      </c>
      <c r="AB6" s="60">
        <f>'3_MODEL_main'!AB71</f>
        <v>684416.51095075824</v>
      </c>
      <c r="AC6" s="60">
        <f>'3_MODEL_main'!AC71</f>
        <v>632206.32020372828</v>
      </c>
      <c r="AD6" s="60">
        <f>'3_MODEL_main'!AD71</f>
        <v>583898.16952154809</v>
      </c>
      <c r="AE6" s="60">
        <f>'3_MODEL_main'!AE71</f>
        <v>539204.96337879682</v>
      </c>
      <c r="AF6" s="60">
        <f>'3_MODEL_main'!AF71</f>
        <v>497860.47000530799</v>
      </c>
      <c r="AG6" s="60">
        <f>'3_MODEL_main'!AG71</f>
        <v>459617.82027475093</v>
      </c>
      <c r="AH6" s="60">
        <f>'3_MODEL_main'!AH71</f>
        <v>424248.11370657617</v>
      </c>
    </row>
    <row r="7" spans="1:34" x14ac:dyDescent="0.2">
      <c r="C7" t="s">
        <v>156</v>
      </c>
      <c r="D7" t="s">
        <v>515</v>
      </c>
      <c r="E7" s="66" t="s">
        <v>171</v>
      </c>
      <c r="G7" s="60">
        <f>'3_MODEL_main'!G90</f>
        <v>549712731.04668212</v>
      </c>
      <c r="I7" s="60">
        <f>'3_MODEL_main'!I90</f>
        <v>0</v>
      </c>
      <c r="J7" s="60">
        <f>'3_MODEL_main'!J90</f>
        <v>2432597.6976880804</v>
      </c>
      <c r="K7" s="60">
        <f>'3_MODEL_main'!K90</f>
        <v>4726127.5439403793</v>
      </c>
      <c r="L7" s="60">
        <f>'3_MODEL_main'!L90</f>
        <v>5537073.624293223</v>
      </c>
      <c r="M7" s="60">
        <f>'3_MODEL_main'!M90</f>
        <v>26433997.262929559</v>
      </c>
      <c r="N7" s="60">
        <f>'3_MODEL_main'!N90</f>
        <v>34645800.583758563</v>
      </c>
      <c r="O7" s="60">
        <f>'3_MODEL_main'!O90</f>
        <v>37107247.249230832</v>
      </c>
      <c r="P7" s="60">
        <f>'3_MODEL_main'!P90</f>
        <v>36357032.614791907</v>
      </c>
      <c r="Q7" s="60">
        <f>'3_MODEL_main'!Q90</f>
        <v>35546163.460934438</v>
      </c>
      <c r="R7" s="60">
        <f>'3_MODEL_main'!R90</f>
        <v>34685786.698932476</v>
      </c>
      <c r="S7" s="60">
        <f>'3_MODEL_main'!S90</f>
        <v>33785850.35791865</v>
      </c>
      <c r="T7" s="60">
        <f>'3_MODEL_main'!T90</f>
        <v>32622841.298439756</v>
      </c>
      <c r="U7" s="60">
        <f>'3_MODEL_main'!U90</f>
        <v>30164385.850632064</v>
      </c>
      <c r="V7" s="60">
        <f>'3_MODEL_main'!V90</f>
        <v>27887976.610981639</v>
      </c>
      <c r="W7" s="60">
        <f>'3_MODEL_main'!W90</f>
        <v>25780316.269428451</v>
      </c>
      <c r="X7" s="60">
        <f>'3_MODEL_main'!X90</f>
        <v>23829068.22045178</v>
      </c>
      <c r="Y7" s="60">
        <f>'3_MODEL_main'!Y90</f>
        <v>22022787.773900218</v>
      </c>
      <c r="Z7" s="60">
        <f>'3_MODEL_main'!Z90</f>
        <v>20350858.254602753</v>
      </c>
      <c r="AA7" s="60">
        <f>'3_MODEL_main'!AA90</f>
        <v>18803431.645514607</v>
      </c>
      <c r="AB7" s="60">
        <f>'3_MODEL_main'!AB90</f>
        <v>17371373.453400731</v>
      </c>
      <c r="AC7" s="60">
        <f>'3_MODEL_main'!AC90</f>
        <v>16046211.498613821</v>
      </c>
      <c r="AD7" s="60">
        <f>'3_MODEL_main'!AD90</f>
        <v>14820088.351500435</v>
      </c>
      <c r="AE7" s="60">
        <f>'3_MODEL_main'!AE90</f>
        <v>13685717.157478474</v>
      </c>
      <c r="AF7" s="60">
        <f>'3_MODEL_main'!AF90</f>
        <v>12636340.610973448</v>
      </c>
      <c r="AG7" s="60">
        <f>'3_MODEL_main'!AG90</f>
        <v>11665692.855275314</v>
      </c>
      <c r="AH7" s="60">
        <f>'3_MODEL_main'!AH90</f>
        <v>10767964.101070592</v>
      </c>
    </row>
    <row r="8" spans="1:34" x14ac:dyDescent="0.2">
      <c r="C8" t="s">
        <v>157</v>
      </c>
      <c r="D8" t="s">
        <v>399</v>
      </c>
      <c r="E8" s="66" t="s">
        <v>171</v>
      </c>
      <c r="G8" s="60">
        <f>'3_MODEL_main'!G95</f>
        <v>425600.51273941941</v>
      </c>
      <c r="I8" s="60">
        <f>'3_MODEL_main'!I95</f>
        <v>0</v>
      </c>
      <c r="J8" s="60">
        <f>'3_MODEL_main'!J95</f>
        <v>1883.3742952496004</v>
      </c>
      <c r="K8" s="60">
        <f>'3_MODEL_main'!K95</f>
        <v>3659.0789923002626</v>
      </c>
      <c r="L8" s="60">
        <f>'3_MODEL_main'!L95</f>
        <v>4286.9325021599088</v>
      </c>
      <c r="M8" s="60">
        <f>'3_MODEL_main'!M95</f>
        <v>20465.821789198912</v>
      </c>
      <c r="N8" s="60">
        <f>'3_MODEL_main'!N95</f>
        <v>26823.592869387518</v>
      </c>
      <c r="O8" s="60">
        <f>'3_MODEL_main'!O95</f>
        <v>28729.302713347395</v>
      </c>
      <c r="P8" s="60">
        <f>'3_MODEL_main'!P95</f>
        <v>28148.468915894904</v>
      </c>
      <c r="Q8" s="60">
        <f>'3_MODEL_main'!Q95</f>
        <v>27520.674964335485</v>
      </c>
      <c r="R8" s="60">
        <f>'3_MODEL_main'!R95</f>
        <v>26854.551059291673</v>
      </c>
      <c r="S8" s="60">
        <f>'3_MODEL_main'!S95</f>
        <v>26157.799198662495</v>
      </c>
      <c r="T8" s="60">
        <f>'3_MODEL_main'!T95</f>
        <v>25257.3702580914</v>
      </c>
      <c r="U8" s="60">
        <f>'3_MODEL_main'!U95</f>
        <v>23353.976285130786</v>
      </c>
      <c r="V8" s="60">
        <f>'3_MODEL_main'!V95</f>
        <v>21591.526763986811</v>
      </c>
      <c r="W8" s="60">
        <f>'3_MODEL_main'!W95</f>
        <v>19959.726604769829</v>
      </c>
      <c r="X8" s="60">
        <f>'3_MODEL_main'!X95</f>
        <v>18449.024517617807</v>
      </c>
      <c r="Y8" s="60">
        <f>'3_MODEL_main'!Y95</f>
        <v>17050.559754504564</v>
      </c>
      <c r="Z8" s="60">
        <f>'3_MODEL_main'!Z95</f>
        <v>15756.112636057265</v>
      </c>
      <c r="AA8" s="60">
        <f>'3_MODEL_main'!AA95</f>
        <v>14558.058596085231</v>
      </c>
      <c r="AB8" s="60">
        <f>'3_MODEL_main'!AB95</f>
        <v>13449.325495296644</v>
      </c>
      <c r="AC8" s="60">
        <f>'3_MODEL_main'!AC95</f>
        <v>12423.3539731414</v>
      </c>
      <c r="AD8" s="60">
        <f>'3_MODEL_main'!AD95</f>
        <v>11474.060622959172</v>
      </c>
      <c r="AE8" s="60">
        <f>'3_MODEL_main'!AE95</f>
        <v>10595.803790716414</v>
      </c>
      <c r="AF8" s="60">
        <f>'3_MODEL_main'!AF95</f>
        <v>9783.3518116638643</v>
      </c>
      <c r="AG8" s="60">
        <f>'3_MODEL_main'!AG95</f>
        <v>9031.8535123104666</v>
      </c>
      <c r="AH8" s="60">
        <f>'3_MODEL_main'!AH95</f>
        <v>8336.810817259613</v>
      </c>
    </row>
    <row r="9" spans="1:34" x14ac:dyDescent="0.2">
      <c r="C9" t="s">
        <v>156</v>
      </c>
      <c r="D9" t="s">
        <v>400</v>
      </c>
      <c r="E9" s="66" t="s">
        <v>171</v>
      </c>
      <c r="G9" s="60">
        <f>'3_MODEL_main'!G114</f>
        <v>26725300.89181672</v>
      </c>
      <c r="I9" s="60">
        <f>'3_MODEL_main'!I114</f>
        <v>1.07</v>
      </c>
      <c r="J9" s="60">
        <f>'3_MODEL_main'!J114</f>
        <v>119414.54385860839</v>
      </c>
      <c r="K9" s="60">
        <f>'3_MODEL_main'!K114</f>
        <v>232001.3345165386</v>
      </c>
      <c r="L9" s="60">
        <f>'3_MODEL_main'!L114</f>
        <v>271809.72399847466</v>
      </c>
      <c r="M9" s="60">
        <f>'3_MODEL_main'!M114</f>
        <v>1297616.6508089253</v>
      </c>
      <c r="N9" s="60">
        <f>'3_MODEL_main'!N114</f>
        <v>1700724.9851770927</v>
      </c>
      <c r="O9" s="60">
        <f>'3_MODEL_main'!O114</f>
        <v>1821554.6432063465</v>
      </c>
      <c r="P9" s="60">
        <f>'3_MODEL_main'!P114</f>
        <v>1784727.385783525</v>
      </c>
      <c r="Q9" s="60">
        <f>'3_MODEL_main'!Q114</f>
        <v>1744922.6678053951</v>
      </c>
      <c r="R9" s="60">
        <f>'3_MODEL_main'!R114</f>
        <v>1702687.6786793782</v>
      </c>
      <c r="S9" s="60">
        <f>'3_MODEL_main'!S114</f>
        <v>1658510.7560210272</v>
      </c>
      <c r="T9" s="60">
        <f>'3_MODEL_main'!T114</f>
        <v>1601419.8856207624</v>
      </c>
      <c r="U9" s="60">
        <f>'3_MODEL_main'!U114</f>
        <v>1480736.9800092415</v>
      </c>
      <c r="V9" s="60">
        <f>'3_MODEL_main'!V114</f>
        <v>1368990.5245864396</v>
      </c>
      <c r="W9" s="60">
        <f>'3_MODEL_main'!W114</f>
        <v>1265527.7688931257</v>
      </c>
      <c r="X9" s="60">
        <f>'3_MODEL_main'!X114</f>
        <v>1207189.3229744637</v>
      </c>
      <c r="Y9" s="60">
        <f>'3_MODEL_main'!Y114</f>
        <v>1115682.5020894222</v>
      </c>
      <c r="Z9" s="60">
        <f>'3_MODEL_main'!Z114</f>
        <v>1030981.9473289367</v>
      </c>
      <c r="AA9" s="60">
        <f>'3_MODEL_main'!AA114</f>
        <v>952588.75464625936</v>
      </c>
      <c r="AB9" s="60">
        <f>'3_MODEL_main'!AB114</f>
        <v>880040.1673631391</v>
      </c>
      <c r="AC9" s="60">
        <f>'3_MODEL_main'!AC114</f>
        <v>812906.98184195883</v>
      </c>
      <c r="AD9" s="60">
        <f>'3_MODEL_main'!AD114</f>
        <v>750791.13789732975</v>
      </c>
      <c r="AE9" s="60">
        <f>'3_MODEL_main'!AE114</f>
        <v>693323.48087896476</v>
      </c>
      <c r="AF9" s="60">
        <f>'3_MODEL_main'!AF114</f>
        <v>640161.68327684049</v>
      </c>
      <c r="AG9" s="60">
        <f>'3_MODEL_main'!AG114</f>
        <v>590988.31455452368</v>
      </c>
      <c r="AH9" s="60">
        <f>'3_MODEL_main'!AH114</f>
        <v>545509.04871153808</v>
      </c>
    </row>
    <row r="10" spans="1:34" x14ac:dyDescent="0.2">
      <c r="C10" t="s">
        <v>157</v>
      </c>
      <c r="D10" t="s">
        <v>400</v>
      </c>
      <c r="E10" s="66" t="s">
        <v>171</v>
      </c>
      <c r="G10" s="60">
        <f>'3_MODEL_main'!G131</f>
        <v>19593336.391726825</v>
      </c>
      <c r="I10" s="60">
        <f>'3_MODEL_main'!I131</f>
        <v>0</v>
      </c>
      <c r="J10" s="60">
        <f>'3_MODEL_main'!J131</f>
        <v>69167.413020255393</v>
      </c>
      <c r="K10" s="60">
        <f>'3_MODEL_main'!K131</f>
        <v>134380.63191821927</v>
      </c>
      <c r="L10" s="60">
        <f>'3_MODEL_main'!L131</f>
        <v>157438.71609310384</v>
      </c>
      <c r="M10" s="60">
        <f>'3_MODEL_main'!M131</f>
        <v>751612.6518573201</v>
      </c>
      <c r="N10" s="60">
        <f>'3_MODEL_main'!N131</f>
        <v>985103.45573035558</v>
      </c>
      <c r="O10" s="60">
        <f>'3_MODEL_main'!O131</f>
        <v>1055091.1476121068</v>
      </c>
      <c r="P10" s="60">
        <f>'3_MODEL_main'!P131</f>
        <v>1033759.874659167</v>
      </c>
      <c r="Q10" s="60">
        <f>'3_MODEL_main'!Q131</f>
        <v>1010703.9777784179</v>
      </c>
      <c r="R10" s="60">
        <f>'3_MODEL_main'!R131</f>
        <v>986240.40334234165</v>
      </c>
      <c r="S10" s="60">
        <f>'3_MODEL_main'!S131</f>
        <v>960652.00923590991</v>
      </c>
      <c r="T10" s="60">
        <f>'3_MODEL_main'!T131</f>
        <v>927583.52115844144</v>
      </c>
      <c r="U10" s="60">
        <f>'3_MODEL_main'!U131</f>
        <v>857680.88024415437</v>
      </c>
      <c r="V10" s="60">
        <f>'3_MODEL_main'!V131</f>
        <v>792954.46114424767</v>
      </c>
      <c r="W10" s="60">
        <f>'3_MODEL_main'!W131</f>
        <v>733026.17399295606</v>
      </c>
      <c r="X10" s="60">
        <f>'3_MODEL_main'!X131</f>
        <v>1196424.0597328446</v>
      </c>
      <c r="Y10" s="60">
        <f>'3_MODEL_main'!Y131</f>
        <v>1105733.2544992396</v>
      </c>
      <c r="Z10" s="60">
        <f>'3_MODEL_main'!Z131</f>
        <v>1021788.0206965924</v>
      </c>
      <c r="AA10" s="60">
        <f>'3_MODEL_main'!AA131</f>
        <v>944093.9032155365</v>
      </c>
      <c r="AB10" s="60">
        <f>'3_MODEL_main'!AB131</f>
        <v>872192.27197541785</v>
      </c>
      <c r="AC10" s="60">
        <f>'3_MODEL_main'!AC131</f>
        <v>805657.75073094387</v>
      </c>
      <c r="AD10" s="60">
        <f>'3_MODEL_main'!AD131</f>
        <v>744095.82897091622</v>
      </c>
      <c r="AE10" s="60">
        <f>'3_MODEL_main'!AE131</f>
        <v>687140.64395739103</v>
      </c>
      <c r="AF10" s="60">
        <f>'3_MODEL_main'!AF131</f>
        <v>634452.92086461745</v>
      </c>
      <c r="AG10" s="60">
        <f>'3_MODEL_main'!AG131</f>
        <v>585718.05982434319</v>
      </c>
      <c r="AH10" s="60">
        <f>'3_MODEL_main'!AH131</f>
        <v>540644.35947198584</v>
      </c>
    </row>
    <row r="11" spans="1:34" s="66" customFormat="1" x14ac:dyDescent="0.2">
      <c r="C11" s="66" t="s">
        <v>442</v>
      </c>
      <c r="D11" s="66" t="s">
        <v>400</v>
      </c>
      <c r="E11" s="66" t="s">
        <v>171</v>
      </c>
      <c r="G11" s="60">
        <f>'3_MODEL_main'!G144</f>
        <v>1277532.9935587854</v>
      </c>
      <c r="I11" s="60">
        <f>'3_MODEL_main'!I144</f>
        <v>0</v>
      </c>
      <c r="J11" s="60">
        <f>'3_MODEL_main'!J144</f>
        <v>0</v>
      </c>
      <c r="K11" s="60">
        <f>'3_MODEL_main'!K144</f>
        <v>13555.489375518646</v>
      </c>
      <c r="L11" s="60">
        <f>'3_MODEL_main'!L144</f>
        <v>15835.852074204025</v>
      </c>
      <c r="M11" s="60">
        <f>'3_MODEL_main'!M144</f>
        <v>59199.447006370188</v>
      </c>
      <c r="N11" s="60">
        <f>'3_MODEL_main'!N144</f>
        <v>76074.055732485082</v>
      </c>
      <c r="O11" s="60">
        <f>'3_MODEL_main'!O144</f>
        <v>81438.666289661138</v>
      </c>
      <c r="P11" s="60">
        <f>'3_MODEL_main'!P144</f>
        <v>80339.286578585772</v>
      </c>
      <c r="Q11" s="60">
        <f>'3_MODEL_main'!Q144</f>
        <v>79035.205684786793</v>
      </c>
      <c r="R11" s="60">
        <f>'3_MODEL_main'!R144</f>
        <v>77557.912120585184</v>
      </c>
      <c r="S11" s="60">
        <f>'3_MODEL_main'!S144</f>
        <v>75935.650496345072</v>
      </c>
      <c r="T11" s="60">
        <f>'3_MODEL_main'!T144</f>
        <v>73732.880685855125</v>
      </c>
      <c r="U11" s="60">
        <f>'3_MODEL_main'!U144</f>
        <v>68909.234285845901</v>
      </c>
      <c r="V11" s="60">
        <f>'3_MODEL_main'!V144</f>
        <v>64401.153538173756</v>
      </c>
      <c r="W11" s="60">
        <f>'3_MODEL_main'!W144</f>
        <v>60187.993960910047</v>
      </c>
      <c r="X11" s="60">
        <f>'3_MODEL_main'!X144</f>
        <v>56250.461645710333</v>
      </c>
      <c r="Y11" s="60">
        <f>'3_MODEL_main'!Y144</f>
        <v>52570.524902533012</v>
      </c>
      <c r="Z11" s="60">
        <f>'3_MODEL_main'!Z144</f>
        <v>49131.331684610297</v>
      </c>
      <c r="AA11" s="60">
        <f>'3_MODEL_main'!AA144</f>
        <v>45917.132415523643</v>
      </c>
      <c r="AB11" s="60">
        <f>'3_MODEL_main'!AB144</f>
        <v>42913.207864975368</v>
      </c>
      <c r="AC11" s="60">
        <f>'3_MODEL_main'!AC144</f>
        <v>40105.801742967633</v>
      </c>
      <c r="AD11" s="60">
        <f>'3_MODEL_main'!AD144</f>
        <v>37482.057703708066</v>
      </c>
      <c r="AE11" s="60">
        <f>'3_MODEL_main'!AE144</f>
        <v>35029.960470755199</v>
      </c>
      <c r="AF11" s="60">
        <f>'3_MODEL_main'!AF144</f>
        <v>32738.280813789908</v>
      </c>
      <c r="AG11" s="60">
        <f>'3_MODEL_main'!AG144</f>
        <v>30596.524125037296</v>
      </c>
      <c r="AH11" s="60">
        <f>'3_MODEL_main'!AH144</f>
        <v>28594.882359847939</v>
      </c>
    </row>
    <row r="12" spans="1:34" ht="32" x14ac:dyDescent="0.2">
      <c r="D12" s="34" t="s">
        <v>443</v>
      </c>
      <c r="E12" s="66" t="s">
        <v>171</v>
      </c>
      <c r="G12" s="60">
        <f>-'2_MODEL_Costs'!F33</f>
        <v>23893810.745545998</v>
      </c>
      <c r="I12" s="60">
        <f>-'2_MODEL_Costs'!H33</f>
        <v>786236</v>
      </c>
      <c r="J12" s="60">
        <f>-'2_MODEL_Costs'!I33</f>
        <v>642050</v>
      </c>
      <c r="K12" s="60">
        <f>-'2_MODEL_Costs'!J33</f>
        <v>226682.24299065419</v>
      </c>
      <c r="L12" s="60">
        <f>-'2_MODEL_Costs'!K33</f>
        <v>68608.612105860724</v>
      </c>
      <c r="M12" s="60">
        <f>-'2_MODEL_Costs'!L33</f>
        <v>-708301.6677781922</v>
      </c>
      <c r="N12" s="60">
        <f>-'2_MODEL_Costs'!M33</f>
        <v>13729100.380767867</v>
      </c>
      <c r="O12" s="60">
        <f>-'2_MODEL_Costs'!N33</f>
        <v>12765696.699874315</v>
      </c>
      <c r="P12" s="60">
        <f>-'2_MODEL_Costs'!O33</f>
        <v>-664726.34392375755</v>
      </c>
      <c r="Q12" s="60">
        <f>-'2_MODEL_Costs'!P33</f>
        <v>-625676.66567144869</v>
      </c>
      <c r="R12" s="60">
        <f>-'2_MODEL_Costs'!Q33</f>
        <v>866131.39918607636</v>
      </c>
      <c r="S12" s="60">
        <f>-'2_MODEL_Costs'!R33</f>
        <v>-554241.28700611752</v>
      </c>
      <c r="T12" s="60">
        <f>-'2_MODEL_Costs'!S33</f>
        <v>-516838.72531336732</v>
      </c>
      <c r="U12" s="60">
        <f>-'2_MODEL_Costs'!T33</f>
        <v>-455233.9174985853</v>
      </c>
      <c r="V12" s="60">
        <f>-'2_MODEL_Costs'!U33</f>
        <v>-399477.55972888926</v>
      </c>
      <c r="W12" s="60">
        <f>-'2_MODEL_Costs'!V33</f>
        <v>-349068.09356383758</v>
      </c>
      <c r="X12" s="60">
        <f>-'2_MODEL_Costs'!W33</f>
        <v>-303544.55454425991</v>
      </c>
      <c r="Y12" s="60">
        <f>-'2_MODEL_Costs'!X33</f>
        <v>-262483.40742499661</v>
      </c>
      <c r="Z12" s="60">
        <f>-'2_MODEL_Costs'!Y33</f>
        <v>-225495.62175319495</v>
      </c>
      <c r="AA12" s="60">
        <f>-'2_MODEL_Costs'!Z33</f>
        <v>-192223.96988980751</v>
      </c>
      <c r="AB12" s="60">
        <f>-'2_MODEL_Costs'!AA33</f>
        <v>-162340.53088566079</v>
      </c>
      <c r="AC12" s="60">
        <f>-'2_MODEL_Costs'!AB33</f>
        <v>555726.44768518512</v>
      </c>
      <c r="AD12" s="60">
        <f>-'2_MODEL_Costs'!AC33</f>
        <v>-111559.483514747</v>
      </c>
      <c r="AE12" s="60">
        <f>-'2_MODEL_Costs'!AD33</f>
        <v>-90132.683972089377</v>
      </c>
      <c r="AF12" s="60">
        <f>-'2_MODEL_Costs'!AE33</f>
        <v>-71031.933081949828</v>
      </c>
      <c r="AG12" s="60">
        <f>-'2_MODEL_Costs'!AF33</f>
        <v>-54044.591513043153</v>
      </c>
      <c r="AH12" s="60">
        <f>-'2_MODEL_Costs'!AG33</f>
        <v>-38975.886763876886</v>
      </c>
    </row>
    <row r="13" spans="1:34" s="1" customFormat="1" x14ac:dyDescent="0.2">
      <c r="D13" s="1" t="s">
        <v>137</v>
      </c>
      <c r="E13" s="66" t="s">
        <v>171</v>
      </c>
      <c r="G13" s="27">
        <f>SUM(G4:G12)</f>
        <v>1450075019.8622196</v>
      </c>
      <c r="I13" s="27">
        <f t="shared" ref="I13:AG13" si="2">SUM(I4:I12)</f>
        <v>786237.07</v>
      </c>
      <c r="J13" s="27">
        <f t="shared" si="2"/>
        <v>6931168.8412312586</v>
      </c>
      <c r="K13" s="27">
        <f t="shared" si="2"/>
        <v>12458935.200605314</v>
      </c>
      <c r="L13" s="27">
        <f t="shared" si="2"/>
        <v>14399721.781335445</v>
      </c>
      <c r="M13" s="27">
        <f t="shared" si="2"/>
        <v>67692048.453288317</v>
      </c>
      <c r="N13" s="27">
        <f t="shared" si="2"/>
        <v>103376715.44303659</v>
      </c>
      <c r="O13" s="27">
        <f t="shared" si="2"/>
        <v>108782378.85929082</v>
      </c>
      <c r="P13" s="27">
        <f t="shared" si="2"/>
        <v>93411288.557314664</v>
      </c>
      <c r="Q13" s="27">
        <f t="shared" si="2"/>
        <v>91352653.082982317</v>
      </c>
      <c r="R13" s="27">
        <f t="shared" si="2"/>
        <v>90618608.262563333</v>
      </c>
      <c r="S13" s="27">
        <f t="shared" si="2"/>
        <v>86869962.345602468</v>
      </c>
      <c r="T13" s="27">
        <f t="shared" si="2"/>
        <v>83898375.968527824</v>
      </c>
      <c r="U13" s="27">
        <f t="shared" si="2"/>
        <v>77599187.906476781</v>
      </c>
      <c r="V13" s="27">
        <f t="shared" si="2"/>
        <v>71765120.230004847</v>
      </c>
      <c r="W13" s="27">
        <f t="shared" si="2"/>
        <v>66362275.644801758</v>
      </c>
      <c r="X13" s="27">
        <f t="shared" si="2"/>
        <v>61915526.386310622</v>
      </c>
      <c r="Y13" s="27">
        <f t="shared" si="2"/>
        <v>57240869.093819335</v>
      </c>
      <c r="Z13" s="27">
        <f t="shared" si="2"/>
        <v>52912860.05281052</v>
      </c>
      <c r="AA13" s="27">
        <f t="shared" si="2"/>
        <v>48906150.248227052</v>
      </c>
      <c r="AB13" s="27">
        <f t="shared" si="2"/>
        <v>45197223.75613188</v>
      </c>
      <c r="AC13" s="27">
        <f t="shared" si="2"/>
        <v>42455537.222513266</v>
      </c>
      <c r="AD13" s="27">
        <f t="shared" si="2"/>
        <v>38587043.688041337</v>
      </c>
      <c r="AE13" s="27">
        <f t="shared" si="2"/>
        <v>35646787.581817009</v>
      </c>
      <c r="AF13" s="27">
        <f t="shared" si="2"/>
        <v>32926091.132017676</v>
      </c>
      <c r="AG13" s="27">
        <f t="shared" si="2"/>
        <v>30408810.761377282</v>
      </c>
      <c r="AH13" s="27">
        <f t="shared" ref="AH13" si="3">SUM(AH4:AH12)</f>
        <v>28079975.45403938</v>
      </c>
    </row>
    <row r="15" spans="1:34" x14ac:dyDescent="0.2">
      <c r="A15" s="1" t="s">
        <v>409</v>
      </c>
    </row>
    <row r="16" spans="1:34" x14ac:dyDescent="0.2">
      <c r="D16" t="s">
        <v>410</v>
      </c>
      <c r="E16" s="66" t="s">
        <v>171</v>
      </c>
      <c r="G16" s="65">
        <f>SUM(H16:O16)</f>
        <v>382035978.60422963</v>
      </c>
      <c r="H16" s="60">
        <f>'2_MODEL_Costs'!G12</f>
        <v>0</v>
      </c>
      <c r="I16" s="60">
        <f>'2_MODEL_Costs'!H12</f>
        <v>97443698.924999997</v>
      </c>
      <c r="J16" s="60">
        <f>'2_MODEL_Costs'!I12</f>
        <v>91068877.5</v>
      </c>
      <c r="K16" s="60">
        <f>'2_MODEL_Costs'!J12</f>
        <v>109587118.22429906</v>
      </c>
      <c r="L16" s="60">
        <f>'2_MODEL_Costs'!K12</f>
        <v>83936283.954930559</v>
      </c>
      <c r="M16" s="60">
        <f>'2_MODEL_Costs'!L12</f>
        <v>0</v>
      </c>
      <c r="N16" s="60">
        <f>'2_MODEL_Costs'!M12</f>
        <v>0</v>
      </c>
      <c r="O16" s="60">
        <f>'2_MODEL_Costs'!N12</f>
        <v>0</v>
      </c>
    </row>
    <row r="18" spans="1:7" x14ac:dyDescent="0.2">
      <c r="A18" s="1" t="s">
        <v>446</v>
      </c>
    </row>
    <row r="19" spans="1:7" ht="21" x14ac:dyDescent="0.25">
      <c r="D19" s="75" t="s">
        <v>444</v>
      </c>
      <c r="E19" s="76" t="s">
        <v>174</v>
      </c>
      <c r="F19" s="76"/>
      <c r="G19" s="77">
        <f>G13/G16</f>
        <v>3.7956504127178703</v>
      </c>
    </row>
    <row r="20" spans="1:7" ht="21" x14ac:dyDescent="0.25">
      <c r="D20" s="75" t="s">
        <v>175</v>
      </c>
      <c r="E20" s="76" t="s">
        <v>171</v>
      </c>
      <c r="F20" s="76"/>
      <c r="G20" s="78">
        <f>SUM(G13,-G16)</f>
        <v>1068039041.2579899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63FC-DF1B-4227-ABD0-CCE19710AD90}">
  <dimension ref="A1:AD62"/>
  <sheetViews>
    <sheetView workbookViewId="0"/>
  </sheetViews>
  <sheetFormatPr baseColWidth="10" defaultColWidth="8.83203125" defaultRowHeight="15" x14ac:dyDescent="0.2"/>
  <cols>
    <col min="3" max="3" width="18.6640625" customWidth="1"/>
    <col min="4" max="4" width="14.83203125" customWidth="1"/>
    <col min="5" max="5" width="16.5" bestFit="1" customWidth="1"/>
    <col min="6" max="7" width="11.5" bestFit="1" customWidth="1"/>
    <col min="8" max="8" width="28.5" customWidth="1"/>
    <col min="9" max="9" width="18.1640625" bestFit="1" customWidth="1"/>
    <col min="10" max="10" width="15.33203125" bestFit="1" customWidth="1"/>
    <col min="11" max="11" width="11.5" bestFit="1" customWidth="1"/>
    <col min="12" max="12" width="18" bestFit="1" customWidth="1"/>
    <col min="13" max="13" width="16.33203125" bestFit="1" customWidth="1"/>
    <col min="14" max="28" width="13.33203125" bestFit="1" customWidth="1"/>
  </cols>
  <sheetData>
    <row r="1" spans="1:13" s="66" customFormat="1" x14ac:dyDescent="0.2">
      <c r="A1" s="67" t="s">
        <v>486</v>
      </c>
    </row>
    <row r="2" spans="1:13" x14ac:dyDescent="0.2">
      <c r="B2" t="s">
        <v>454</v>
      </c>
      <c r="G2" t="s">
        <v>466</v>
      </c>
    </row>
    <row r="3" spans="1:13" x14ac:dyDescent="0.2">
      <c r="C3" s="67" t="s">
        <v>465</v>
      </c>
      <c r="D3" s="67" t="s">
        <v>464</v>
      </c>
      <c r="E3" s="67" t="s">
        <v>5</v>
      </c>
      <c r="H3" s="69" t="s">
        <v>467</v>
      </c>
      <c r="I3" s="11">
        <f>'3_MODEL_main'!G42</f>
        <v>871199233.89819837</v>
      </c>
    </row>
    <row r="4" spans="1:13" x14ac:dyDescent="0.2">
      <c r="C4" t="s">
        <v>447</v>
      </c>
      <c r="D4" s="11">
        <f>SUM('3_MODEL_main'!G101,'3_MODEL_main'!G119,'3_MODEL_main'!G134)</f>
        <v>6228.1599388018112</v>
      </c>
      <c r="E4" s="25">
        <f>D4*PARAMS!C31</f>
        <v>51693727.492055036</v>
      </c>
      <c r="H4" t="s">
        <v>468</v>
      </c>
      <c r="I4" s="25">
        <f>'3_MODEL_main'!G43</f>
        <v>1473197904.5218534</v>
      </c>
    </row>
    <row r="5" spans="1:13" x14ac:dyDescent="0.2">
      <c r="C5" s="66" t="s">
        <v>448</v>
      </c>
      <c r="D5" s="11">
        <f>SUM('3_MODEL_main'!G102,'3_MODEL_main'!G120,'3_MODEL_main'!G135)</f>
        <v>606.65131356011443</v>
      </c>
      <c r="E5" s="25">
        <f>D5*PARAMS!C32</f>
        <v>1213302.6271202289</v>
      </c>
      <c r="H5" t="s">
        <v>469</v>
      </c>
      <c r="I5" s="25">
        <f>'3_MODEL_main'!G44</f>
        <v>638686425.09215093</v>
      </c>
    </row>
    <row r="6" spans="1:13" x14ac:dyDescent="0.2">
      <c r="C6" s="66" t="s">
        <v>449</v>
      </c>
      <c r="D6" s="11">
        <f>SUM('3_MODEL_main'!G103,'3_MODEL_main'!G121,'3_MODEL_main'!G136)</f>
        <v>47.286732046209039</v>
      </c>
      <c r="E6" s="25">
        <f>D6*PARAMS!C33</f>
        <v>17864927.367057774</v>
      </c>
    </row>
    <row r="7" spans="1:13" x14ac:dyDescent="0.2">
      <c r="C7" s="66" t="s">
        <v>450</v>
      </c>
      <c r="D7" s="11">
        <f>SUM('3_MODEL_main'!G104,'3_MODEL_main'!G122,'3_MODEL_main'!G137)</f>
        <v>19.155503282678499</v>
      </c>
      <c r="E7" s="25">
        <f>D7*PARAMS!C34</f>
        <v>936704.11052297859</v>
      </c>
      <c r="H7" t="s">
        <v>470</v>
      </c>
      <c r="I7" s="11">
        <f>'3_MODEL_main'!G60</f>
        <v>9166555319.629406</v>
      </c>
      <c r="J7" s="79">
        <f>I7/18</f>
        <v>509253073.3127448</v>
      </c>
    </row>
    <row r="8" spans="1:13" x14ac:dyDescent="0.2">
      <c r="C8" t="s">
        <v>451</v>
      </c>
      <c r="D8" s="11">
        <f>SUM('3_MODEL_main'!G105,'3_MODEL_main'!G123)</f>
        <v>29602638.86208101</v>
      </c>
      <c r="E8" s="25">
        <f>SUM('3_MODEL_main'!I129:AG129,'3_MODEL_main'!I112:AG112)</f>
        <v>41955468.435417257</v>
      </c>
      <c r="H8" t="s">
        <v>471</v>
      </c>
      <c r="I8" s="25">
        <f>'3_MODEL_main'!G61</f>
        <v>387745290.02032387</v>
      </c>
    </row>
    <row r="9" spans="1:13" x14ac:dyDescent="0.2">
      <c r="C9" t="s">
        <v>176</v>
      </c>
      <c r="E9" s="26">
        <f>SUM(E4:E8)</f>
        <v>113664130.03217328</v>
      </c>
      <c r="H9" s="66" t="s">
        <v>469</v>
      </c>
      <c r="I9" s="25">
        <f>'3_MODEL_main'!G62</f>
        <v>168102094.34134188</v>
      </c>
    </row>
    <row r="10" spans="1:13" x14ac:dyDescent="0.2">
      <c r="C10" t="s">
        <v>452</v>
      </c>
      <c r="E10" s="25">
        <f>SUM('3_MODEL_main'!G114,'3_MODEL_main'!G131,'3_MODEL_main'!G144)</f>
        <v>47596170.277102329</v>
      </c>
    </row>
    <row r="12" spans="1:13" x14ac:dyDescent="0.2">
      <c r="B12" t="s">
        <v>453</v>
      </c>
    </row>
    <row r="13" spans="1:13" x14ac:dyDescent="0.2">
      <c r="C13" s="67" t="s">
        <v>465</v>
      </c>
      <c r="D13" s="67" t="s">
        <v>464</v>
      </c>
      <c r="E13" s="67" t="s">
        <v>5</v>
      </c>
      <c r="L13" s="68"/>
      <c r="M13" s="70"/>
    </row>
    <row r="14" spans="1:13" x14ac:dyDescent="0.2">
      <c r="C14" s="66" t="s">
        <v>447</v>
      </c>
      <c r="D14" s="11">
        <f>'3_MODEL_main'!G101</f>
        <v>5301.3824660395176</v>
      </c>
      <c r="E14" s="26">
        <f>'3_MODEL_main'!G107</f>
        <v>44001474.468128018</v>
      </c>
      <c r="H14" t="s">
        <v>516</v>
      </c>
      <c r="I14" s="91">
        <f>('0_MODEL_BenefitSummary'!G20)/1000000</f>
        <v>1068.03904125799</v>
      </c>
      <c r="J14">
        <v>1000000</v>
      </c>
    </row>
    <row r="15" spans="1:13" x14ac:dyDescent="0.2">
      <c r="C15" s="66" t="s">
        <v>448</v>
      </c>
      <c r="D15" s="11">
        <f>'3_MODEL_main'!G102</f>
        <v>468.71167790493212</v>
      </c>
      <c r="E15" s="26">
        <f>'3_MODEL_main'!G108</f>
        <v>937423.35580986447</v>
      </c>
      <c r="H15" t="s">
        <v>410</v>
      </c>
      <c r="I15" s="91">
        <f>('0_MODEL_BenefitSummary'!G16*-1)/1000000</f>
        <v>-382.03597860422963</v>
      </c>
    </row>
    <row r="16" spans="1:13" x14ac:dyDescent="0.2">
      <c r="C16" s="66" t="s">
        <v>449</v>
      </c>
      <c r="D16" s="24">
        <f>'3_MODEL_main'!G103</f>
        <v>38.297596985073454</v>
      </c>
      <c r="E16" s="26">
        <f>'3_MODEL_main'!G109</f>
        <v>14468832.140960747</v>
      </c>
      <c r="H16" t="s">
        <v>517</v>
      </c>
      <c r="I16" s="91">
        <f>('0_MODEL_BenefitSummary'!G12)/1000000</f>
        <v>23.893810745545998</v>
      </c>
      <c r="M16" s="70"/>
    </row>
    <row r="17" spans="2:13" x14ac:dyDescent="0.2">
      <c r="C17" s="66" t="s">
        <v>450</v>
      </c>
      <c r="D17" s="24">
        <f>'3_MODEL_main'!G104</f>
        <v>17.239703778779287</v>
      </c>
      <c r="E17" s="26">
        <f>'3_MODEL_main'!G110</f>
        <v>843021.5147823072</v>
      </c>
      <c r="H17" t="s">
        <v>518</v>
      </c>
      <c r="I17" s="91">
        <f>(SUM('0_MODEL_BenefitSummary'!G9:G11))/1000000</f>
        <v>47.596170277102331</v>
      </c>
      <c r="J17" s="66"/>
      <c r="K17" s="66"/>
      <c r="L17" s="25"/>
    </row>
    <row r="18" spans="2:13" x14ac:dyDescent="0.2">
      <c r="C18" s="66" t="s">
        <v>451</v>
      </c>
      <c r="D18" s="11">
        <f>'3_MODEL_main'!G105</f>
        <v>1992532.4483287581</v>
      </c>
      <c r="E18" s="26">
        <f>'3_MODEL_main'!G112</f>
        <v>2995653.1056874995</v>
      </c>
      <c r="H18" t="s">
        <v>519</v>
      </c>
      <c r="I18" s="91">
        <f>(SUM('0_MODEL_BenefitSummary'!G7:G8))/1000000</f>
        <v>550.13833155942154</v>
      </c>
      <c r="L18" s="25"/>
      <c r="M18" s="70"/>
    </row>
    <row r="19" spans="2:13" x14ac:dyDescent="0.2">
      <c r="C19" s="66" t="s">
        <v>176</v>
      </c>
      <c r="E19" s="26">
        <f>SUM(E14:E18)</f>
        <v>63246404.58536844</v>
      </c>
      <c r="H19" t="s">
        <v>520</v>
      </c>
      <c r="I19" s="91">
        <f>(SUM('0_MODEL_BenefitSummary'!G6))/1000000</f>
        <v>21.658187846656947</v>
      </c>
      <c r="L19" s="25"/>
    </row>
    <row r="20" spans="2:13" x14ac:dyDescent="0.2">
      <c r="C20" s="66" t="s">
        <v>452</v>
      </c>
      <c r="E20" s="25">
        <f>'3_MODEL_main'!G114</f>
        <v>26725300.89181672</v>
      </c>
      <c r="H20" t="s">
        <v>356</v>
      </c>
      <c r="I20" s="91">
        <f>(SUM('0_MODEL_BenefitSummary'!G4:G5))/1000000</f>
        <v>806.78851943349275</v>
      </c>
      <c r="L20" s="25"/>
    </row>
    <row r="21" spans="2:13" x14ac:dyDescent="0.2">
      <c r="L21" s="25"/>
    </row>
    <row r="22" spans="2:13" x14ac:dyDescent="0.2">
      <c r="B22" t="s">
        <v>455</v>
      </c>
      <c r="L22" s="25"/>
    </row>
    <row r="23" spans="2:13" x14ac:dyDescent="0.2">
      <c r="C23" s="67" t="s">
        <v>465</v>
      </c>
      <c r="D23" s="67" t="s">
        <v>464</v>
      </c>
      <c r="E23" s="67" t="s">
        <v>5</v>
      </c>
      <c r="L23" s="25"/>
    </row>
    <row r="24" spans="2:13" x14ac:dyDescent="0.2">
      <c r="C24" s="66" t="s">
        <v>447</v>
      </c>
      <c r="D24" s="11">
        <f>'3_MODEL_main'!G119</f>
        <v>822.960341526658</v>
      </c>
      <c r="E24" s="25">
        <f>'3_MODEL_main'!G125</f>
        <v>6830570.8346712599</v>
      </c>
      <c r="L24" s="68"/>
    </row>
    <row r="25" spans="2:13" x14ac:dyDescent="0.2">
      <c r="C25" s="66" t="s">
        <v>448</v>
      </c>
      <c r="D25" s="24">
        <f>'3_MODEL_main'!G120</f>
        <v>88.626498318255443</v>
      </c>
      <c r="E25" s="25">
        <f>'3_MODEL_main'!G126</f>
        <v>177252.99663651086</v>
      </c>
    </row>
    <row r="26" spans="2:13" x14ac:dyDescent="0.2">
      <c r="C26" s="66" t="s">
        <v>449</v>
      </c>
      <c r="D26" s="24">
        <f>'3_MODEL_main'!G121</f>
        <v>3.7982784993538043</v>
      </c>
      <c r="E26" s="25">
        <f>'3_MODEL_main'!G127</f>
        <v>1434989.6170558671</v>
      </c>
    </row>
    <row r="27" spans="2:13" x14ac:dyDescent="0.2">
      <c r="C27" s="66" t="s">
        <v>450</v>
      </c>
      <c r="D27" s="11">
        <f>'3_MODEL_main'!G122</f>
        <v>0</v>
      </c>
      <c r="E27" s="25">
        <f>'3_MODEL_main'!G128</f>
        <v>0</v>
      </c>
    </row>
    <row r="28" spans="2:13" x14ac:dyDescent="0.2">
      <c r="C28" s="66" t="s">
        <v>451</v>
      </c>
      <c r="D28" s="11">
        <f>'3_MODEL_main'!G123</f>
        <v>27610106.41375225</v>
      </c>
      <c r="E28" s="25">
        <f>'3_MODEL_main'!G129</f>
        <v>41510140.071291067</v>
      </c>
      <c r="I28" s="71"/>
      <c r="J28" s="71"/>
      <c r="K28" s="71"/>
      <c r="L28" s="71"/>
    </row>
    <row r="29" spans="2:13" x14ac:dyDescent="0.2">
      <c r="C29" s="66" t="s">
        <v>176</v>
      </c>
      <c r="E29" s="26">
        <f>SUM(E24:E28)</f>
        <v>49952953.519654706</v>
      </c>
      <c r="I29" s="71"/>
      <c r="J29" s="72"/>
      <c r="K29" s="73"/>
      <c r="L29" s="72"/>
    </row>
    <row r="30" spans="2:13" x14ac:dyDescent="0.2">
      <c r="C30" s="66" t="s">
        <v>452</v>
      </c>
      <c r="E30" s="25">
        <f>'3_MODEL_main'!G131</f>
        <v>19593336.391726825</v>
      </c>
      <c r="I30" s="71"/>
      <c r="J30" s="72"/>
      <c r="K30" s="73"/>
      <c r="L30" s="72"/>
    </row>
    <row r="31" spans="2:13" s="66" customFormat="1" x14ac:dyDescent="0.2">
      <c r="E31" s="25"/>
      <c r="I31" s="71"/>
      <c r="J31" s="72"/>
      <c r="K31" s="73"/>
      <c r="L31" s="72"/>
    </row>
    <row r="32" spans="2:13" x14ac:dyDescent="0.2">
      <c r="B32" t="s">
        <v>456</v>
      </c>
      <c r="I32" s="71"/>
      <c r="J32" s="71"/>
      <c r="K32" s="74"/>
      <c r="L32" s="72"/>
    </row>
    <row r="33" spans="2:12" x14ac:dyDescent="0.2">
      <c r="C33" s="67" t="s">
        <v>465</v>
      </c>
      <c r="D33" s="67" t="s">
        <v>464</v>
      </c>
      <c r="E33" s="67" t="s">
        <v>5</v>
      </c>
      <c r="I33" s="71"/>
      <c r="J33" s="71"/>
      <c r="K33" s="74"/>
      <c r="L33" s="72"/>
    </row>
    <row r="34" spans="2:12" x14ac:dyDescent="0.2">
      <c r="C34" s="66" t="s">
        <v>447</v>
      </c>
      <c r="D34" s="32">
        <f>'3_MODEL_main'!G134</f>
        <v>103.81713123563554</v>
      </c>
      <c r="E34" s="25">
        <f>'3_MODEL_main'!G139</f>
        <v>861682.1892557746</v>
      </c>
      <c r="I34" s="71"/>
      <c r="J34" s="71"/>
      <c r="K34" s="71"/>
      <c r="L34" s="71"/>
    </row>
    <row r="35" spans="2:12" x14ac:dyDescent="0.2">
      <c r="C35" s="66" t="s">
        <v>448</v>
      </c>
      <c r="D35" s="32">
        <f>'3_MODEL_main'!G135</f>
        <v>49.313137336926872</v>
      </c>
      <c r="E35" s="25">
        <f>'3_MODEL_main'!G140</f>
        <v>98626.274673853768</v>
      </c>
    </row>
    <row r="36" spans="2:12" x14ac:dyDescent="0.2">
      <c r="C36" s="66" t="s">
        <v>449</v>
      </c>
      <c r="D36" s="32">
        <f>'3_MODEL_main'!G136</f>
        <v>5.1908565617817768</v>
      </c>
      <c r="E36" s="25">
        <f>'3_MODEL_main'!G141</f>
        <v>1961105.6090411549</v>
      </c>
    </row>
    <row r="37" spans="2:12" x14ac:dyDescent="0.2">
      <c r="C37" s="66" t="s">
        <v>450</v>
      </c>
      <c r="D37" s="32">
        <f>'3_MODEL_main'!G137</f>
        <v>1.9157995038992104</v>
      </c>
      <c r="E37" s="25">
        <f>'3_MODEL_main'!G142</f>
        <v>93682.595740671386</v>
      </c>
    </row>
    <row r="38" spans="2:12" x14ac:dyDescent="0.2">
      <c r="C38" s="66" t="s">
        <v>451</v>
      </c>
      <c r="D38" t="s">
        <v>457</v>
      </c>
      <c r="E38" s="25" t="s">
        <v>457</v>
      </c>
    </row>
    <row r="39" spans="2:12" x14ac:dyDescent="0.2">
      <c r="C39" s="66" t="s">
        <v>176</v>
      </c>
      <c r="E39" s="25">
        <f>SUM(E34:E38)</f>
        <v>3015096.6687114546</v>
      </c>
    </row>
    <row r="40" spans="2:12" x14ac:dyDescent="0.2">
      <c r="C40" s="66" t="s">
        <v>452</v>
      </c>
      <c r="E40" s="25">
        <f>'3_MODEL_main'!G144</f>
        <v>1277532.9935587854</v>
      </c>
    </row>
    <row r="42" spans="2:12" x14ac:dyDescent="0.2">
      <c r="B42" t="s">
        <v>459</v>
      </c>
    </row>
    <row r="43" spans="2:12" x14ac:dyDescent="0.2">
      <c r="C43" s="67" t="s">
        <v>459</v>
      </c>
      <c r="D43" s="28" t="s">
        <v>463</v>
      </c>
      <c r="E43" s="28" t="s">
        <v>136</v>
      </c>
    </row>
    <row r="44" spans="2:12" x14ac:dyDescent="0.2">
      <c r="C44" s="66" t="s">
        <v>253</v>
      </c>
      <c r="D44" s="25">
        <v>0</v>
      </c>
      <c r="E44" s="25">
        <f>'2_MODEL_Costs'!F14</f>
        <v>3720000</v>
      </c>
    </row>
    <row r="45" spans="2:12" x14ac:dyDescent="0.2">
      <c r="C45" s="66" t="s">
        <v>183</v>
      </c>
      <c r="D45" s="25">
        <v>0</v>
      </c>
      <c r="E45" s="25">
        <f>'2_MODEL_Costs'!F15</f>
        <v>2362500</v>
      </c>
    </row>
    <row r="46" spans="2:12" x14ac:dyDescent="0.2">
      <c r="C46" s="66" t="s">
        <v>184</v>
      </c>
      <c r="D46" s="25">
        <v>0</v>
      </c>
      <c r="E46" s="25">
        <f>'2_MODEL_Costs'!F16</f>
        <v>12750000</v>
      </c>
    </row>
    <row r="47" spans="2:12" x14ac:dyDescent="0.2">
      <c r="C47" s="66" t="s">
        <v>2</v>
      </c>
      <c r="D47" s="25">
        <v>0</v>
      </c>
      <c r="E47" s="25">
        <f>'2_MODEL_Costs'!F17</f>
        <v>210000</v>
      </c>
    </row>
    <row r="48" spans="2:12" x14ac:dyDescent="0.2">
      <c r="C48" s="66" t="s">
        <v>185</v>
      </c>
      <c r="D48" s="25">
        <v>0</v>
      </c>
      <c r="E48" s="25">
        <f>'2_MODEL_Costs'!F18</f>
        <v>0</v>
      </c>
    </row>
    <row r="49" spans="2:30" x14ac:dyDescent="0.2">
      <c r="C49" s="66" t="s">
        <v>186</v>
      </c>
      <c r="D49" s="25">
        <v>0</v>
      </c>
      <c r="E49" s="25">
        <f>'2_MODEL_Costs'!F19</f>
        <v>0</v>
      </c>
    </row>
    <row r="50" spans="2:30" x14ac:dyDescent="0.2">
      <c r="C50" s="66" t="s">
        <v>525</v>
      </c>
      <c r="D50" s="25">
        <v>0</v>
      </c>
      <c r="E50" s="25">
        <f>'2_MODEL_Costs'!F21</f>
        <v>29775000</v>
      </c>
    </row>
    <row r="51" spans="2:30" x14ac:dyDescent="0.2">
      <c r="C51" t="s">
        <v>460</v>
      </c>
      <c r="D51" s="25">
        <f>'2_MODEL_Costs'!F26</f>
        <v>40515000</v>
      </c>
      <c r="E51" s="25">
        <v>0</v>
      </c>
    </row>
    <row r="52" spans="2:30" x14ac:dyDescent="0.2">
      <c r="C52" s="66" t="s">
        <v>404</v>
      </c>
      <c r="D52" s="25">
        <f>'2_MODEL_Costs'!F27</f>
        <v>2226000</v>
      </c>
      <c r="E52" s="25">
        <v>0</v>
      </c>
    </row>
    <row r="53" spans="2:30" x14ac:dyDescent="0.2">
      <c r="C53" s="66" t="s">
        <v>406</v>
      </c>
      <c r="D53" s="25">
        <f>'2_MODEL_Costs'!F28</f>
        <v>9664000</v>
      </c>
      <c r="E53" s="25">
        <v>0</v>
      </c>
    </row>
    <row r="54" spans="2:30" x14ac:dyDescent="0.2">
      <c r="C54" s="66" t="s">
        <v>405</v>
      </c>
      <c r="D54" s="25">
        <f>'2_MODEL_Costs'!F29</f>
        <v>25905000</v>
      </c>
      <c r="E54" s="25">
        <v>0</v>
      </c>
    </row>
    <row r="55" spans="2:30" x14ac:dyDescent="0.2">
      <c r="C55" s="67" t="s">
        <v>19</v>
      </c>
      <c r="D55" s="28">
        <f>SUM(D51:D54)</f>
        <v>78310000</v>
      </c>
      <c r="E55" s="27">
        <f>SUM(E44:E54)</f>
        <v>48817500</v>
      </c>
    </row>
    <row r="56" spans="2:30" x14ac:dyDescent="0.2">
      <c r="C56" s="67" t="s">
        <v>461</v>
      </c>
      <c r="D56" s="28">
        <f>'2_MODEL_Costs'!F31</f>
        <v>46406927.845927864</v>
      </c>
      <c r="E56" s="28">
        <f>'2_MODEL_Costs'!F23</f>
        <v>22513117.100381866</v>
      </c>
    </row>
    <row r="57" spans="2:30" x14ac:dyDescent="0.2">
      <c r="C57" s="67" t="s">
        <v>462</v>
      </c>
      <c r="D57" s="67"/>
      <c r="E57" s="27">
        <f>D56-E56</f>
        <v>23893810.745545998</v>
      </c>
    </row>
    <row r="59" spans="2:30" x14ac:dyDescent="0.2">
      <c r="B59" t="s">
        <v>472</v>
      </c>
    </row>
    <row r="60" spans="2:30" x14ac:dyDescent="0.2">
      <c r="C60" s="67" t="s">
        <v>273</v>
      </c>
      <c r="D60">
        <v>2020</v>
      </c>
      <c r="E60">
        <f t="shared" ref="E60:AC60" si="0">D60+1</f>
        <v>2021</v>
      </c>
      <c r="F60" s="66">
        <f t="shared" si="0"/>
        <v>2022</v>
      </c>
      <c r="G60" s="66">
        <f t="shared" si="0"/>
        <v>2023</v>
      </c>
      <c r="H60" s="66">
        <f t="shared" si="0"/>
        <v>2024</v>
      </c>
      <c r="I60" s="66">
        <f>H60+1</f>
        <v>2025</v>
      </c>
      <c r="J60" s="66">
        <f t="shared" si="0"/>
        <v>2026</v>
      </c>
      <c r="K60" s="66">
        <f t="shared" si="0"/>
        <v>2027</v>
      </c>
      <c r="L60" s="66">
        <f t="shared" si="0"/>
        <v>2028</v>
      </c>
      <c r="M60" s="66">
        <f>L60+1</f>
        <v>2029</v>
      </c>
      <c r="N60" s="66">
        <f t="shared" si="0"/>
        <v>2030</v>
      </c>
      <c r="O60" s="66">
        <f t="shared" si="0"/>
        <v>2031</v>
      </c>
      <c r="P60" s="66">
        <f t="shared" si="0"/>
        <v>2032</v>
      </c>
      <c r="Q60" s="66">
        <f t="shared" si="0"/>
        <v>2033</v>
      </c>
      <c r="R60" s="66">
        <f t="shared" si="0"/>
        <v>2034</v>
      </c>
      <c r="S60" s="66">
        <f t="shared" si="0"/>
        <v>2035</v>
      </c>
      <c r="T60" s="66">
        <f t="shared" si="0"/>
        <v>2036</v>
      </c>
      <c r="U60" s="66">
        <f t="shared" si="0"/>
        <v>2037</v>
      </c>
      <c r="V60" s="66">
        <f t="shared" si="0"/>
        <v>2038</v>
      </c>
      <c r="W60" s="66">
        <f t="shared" si="0"/>
        <v>2039</v>
      </c>
      <c r="X60" s="66">
        <f t="shared" si="0"/>
        <v>2040</v>
      </c>
      <c r="Y60" s="66">
        <f t="shared" si="0"/>
        <v>2041</v>
      </c>
      <c r="Z60" s="66">
        <f t="shared" si="0"/>
        <v>2042</v>
      </c>
      <c r="AA60" s="66">
        <f t="shared" si="0"/>
        <v>2043</v>
      </c>
      <c r="AB60" s="66">
        <f t="shared" si="0"/>
        <v>2044</v>
      </c>
      <c r="AC60" s="66">
        <f t="shared" si="0"/>
        <v>2045</v>
      </c>
      <c r="AD60" s="66"/>
    </row>
    <row r="61" spans="2:30" s="11" customFormat="1" x14ac:dyDescent="0.2">
      <c r="C61" s="29" t="s">
        <v>458</v>
      </c>
      <c r="D61" s="11">
        <f>'1_MODEL_assumptions'!I9</f>
        <v>20704</v>
      </c>
      <c r="E61" s="11">
        <f>'1_MODEL_assumptions'!J9</f>
        <v>30409</v>
      </c>
      <c r="F61" s="11">
        <f>'1_MODEL_assumptions'!K9</f>
        <v>32091.200000000001</v>
      </c>
      <c r="G61" s="11">
        <f>'1_MODEL_assumptions'!L9</f>
        <v>39855.200000000004</v>
      </c>
      <c r="H61" s="11">
        <f>'1_MODEL_assumptions'!M9</f>
        <v>59524</v>
      </c>
      <c r="I61" s="11">
        <f>'1_MODEL_assumptions'!N9</f>
        <v>69229</v>
      </c>
      <c r="J61" s="11">
        <f>'1_MODEL_assumptions'!O9</f>
        <v>78934</v>
      </c>
      <c r="K61" s="11">
        <f>'1_MODEL_assumptions'!P9</f>
        <v>88639</v>
      </c>
      <c r="L61" s="11">
        <f>'1_MODEL_assumptions'!Q9</f>
        <v>98344.000000000015</v>
      </c>
      <c r="M61" s="11">
        <f>'1_MODEL_assumptions'!R9</f>
        <v>108049.00000000003</v>
      </c>
      <c r="N61" s="11">
        <f>'1_MODEL_assumptions'!S9</f>
        <v>117754.00000000003</v>
      </c>
      <c r="O61" s="11">
        <f>'1_MODEL_assumptions'!T9</f>
        <v>127459.00000000004</v>
      </c>
      <c r="P61" s="11">
        <f>'1_MODEL_assumptions'!U9</f>
        <v>137164.00000000006</v>
      </c>
      <c r="Q61" s="11">
        <f>'1_MODEL_assumptions'!V9</f>
        <v>146869.00000000006</v>
      </c>
      <c r="R61" s="11">
        <f>'1_MODEL_assumptions'!W9</f>
        <v>156574.00000000006</v>
      </c>
      <c r="S61" s="11">
        <f>'1_MODEL_assumptions'!X9</f>
        <v>166279.00000000009</v>
      </c>
      <c r="T61" s="11">
        <f>'1_MODEL_assumptions'!Y9</f>
        <v>175984.00000000009</v>
      </c>
      <c r="U61" s="11">
        <f>'1_MODEL_assumptions'!Z9</f>
        <v>185689.00000000009</v>
      </c>
      <c r="V61" s="11">
        <f>'1_MODEL_assumptions'!AA9</f>
        <v>195394.00000000009</v>
      </c>
      <c r="W61" s="11">
        <f>'1_MODEL_assumptions'!AB9</f>
        <v>205099.00000000012</v>
      </c>
      <c r="X61" s="11">
        <f>'1_MODEL_assumptions'!AC9</f>
        <v>214804.00000000012</v>
      </c>
      <c r="Y61" s="11">
        <f>'1_MODEL_assumptions'!AD9</f>
        <v>224509.00000000012</v>
      </c>
      <c r="Z61" s="11">
        <f>'1_MODEL_assumptions'!AE9</f>
        <v>234214.00000000015</v>
      </c>
      <c r="AA61" s="11">
        <f>'1_MODEL_assumptions'!AF9</f>
        <v>243919.00000000015</v>
      </c>
      <c r="AB61" s="11">
        <f>'1_MODEL_assumptions'!AG9</f>
        <v>253624.00000000015</v>
      </c>
      <c r="AC61" s="11">
        <f>'1_MODEL_assumptions'!AH9</f>
        <v>263329.00000000017</v>
      </c>
    </row>
    <row r="62" spans="2:30" s="11" customFormat="1" x14ac:dyDescent="0.2">
      <c r="C62" s="29" t="s">
        <v>514</v>
      </c>
      <c r="D62" s="11">
        <f>'1_MODEL_assumptions'!I12</f>
        <v>20704</v>
      </c>
      <c r="E62" s="11">
        <f>'1_MODEL_assumptions'!J12</f>
        <v>65000</v>
      </c>
      <c r="F62" s="11">
        <f>'1_MODEL_assumptions'!K12</f>
        <v>104000</v>
      </c>
      <c r="G62" s="11">
        <f>'1_MODEL_assumptions'!L12</f>
        <v>130000</v>
      </c>
      <c r="H62" s="11">
        <f>'1_MODEL_assumptions'!M12</f>
        <v>520000</v>
      </c>
      <c r="I62" s="11">
        <f>'1_MODEL_assumptions'!N12</f>
        <v>715000</v>
      </c>
      <c r="J62" s="11">
        <f>'1_MODEL_assumptions'!O12</f>
        <v>819000</v>
      </c>
      <c r="K62" s="11">
        <f>'1_MODEL_assumptions'!P12</f>
        <v>864500</v>
      </c>
      <c r="L62" s="11">
        <f>'1_MODEL_assumptions'!Q12</f>
        <v>910000.00000000012</v>
      </c>
      <c r="M62" s="11">
        <f>'1_MODEL_assumptions'!R12</f>
        <v>955500.00000000012</v>
      </c>
      <c r="N62" s="11">
        <f>'1_MODEL_assumptions'!S12</f>
        <v>1001000.0000000001</v>
      </c>
      <c r="O62" s="11">
        <f>'1_MODEL_assumptions'!T12</f>
        <v>1040000</v>
      </c>
      <c r="P62" s="11">
        <f>'1_MODEL_assumptions'!U12</f>
        <v>1040000</v>
      </c>
      <c r="Q62" s="11">
        <f>'1_MODEL_assumptions'!V12</f>
        <v>1040000</v>
      </c>
      <c r="R62" s="11">
        <f>'1_MODEL_assumptions'!W12</f>
        <v>1040000</v>
      </c>
      <c r="S62" s="11">
        <f>'1_MODEL_assumptions'!X12</f>
        <v>1040000</v>
      </c>
      <c r="T62" s="11">
        <f>'1_MODEL_assumptions'!Y12</f>
        <v>1040000</v>
      </c>
      <c r="U62" s="11">
        <f>'1_MODEL_assumptions'!Z12</f>
        <v>1040000</v>
      </c>
      <c r="V62" s="11">
        <f>'1_MODEL_assumptions'!AA12</f>
        <v>1040000</v>
      </c>
      <c r="W62" s="11">
        <f>'1_MODEL_assumptions'!AB12</f>
        <v>1040000</v>
      </c>
      <c r="X62" s="11">
        <f>'1_MODEL_assumptions'!AC12</f>
        <v>1040000</v>
      </c>
      <c r="Y62" s="11">
        <f>'1_MODEL_assumptions'!AD12</f>
        <v>1040000</v>
      </c>
      <c r="Z62" s="11">
        <f>'1_MODEL_assumptions'!AE12</f>
        <v>1040000</v>
      </c>
      <c r="AA62" s="11">
        <f>'1_MODEL_assumptions'!AF12</f>
        <v>1040000</v>
      </c>
      <c r="AB62" s="11">
        <f>'1_MODEL_assumptions'!AG12</f>
        <v>1040000</v>
      </c>
      <c r="AC62" s="11">
        <f>'1_MODEL_assumptions'!AH12</f>
        <v>1040000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A9A0-CE08-4E6F-82DC-0FA0D9AA612E}">
  <dimension ref="A1:AI37"/>
  <sheetViews>
    <sheetView workbookViewId="0"/>
  </sheetViews>
  <sheetFormatPr baseColWidth="10" defaultColWidth="8.83203125" defaultRowHeight="15" x14ac:dyDescent="0.2"/>
  <cols>
    <col min="1" max="1" width="3" customWidth="1"/>
    <col min="2" max="2" width="3.6640625" customWidth="1"/>
    <col min="4" max="4" width="43.1640625" customWidth="1"/>
    <col min="7" max="7" width="12.83203125" customWidth="1"/>
    <col min="8" max="8" width="12.83203125" hidden="1" customWidth="1"/>
    <col min="9" max="33" width="12.83203125" customWidth="1"/>
    <col min="34" max="34" width="12.83203125" style="66" customWidth="1"/>
  </cols>
  <sheetData>
    <row r="1" spans="1:35" s="66" customFormat="1" x14ac:dyDescent="0.2">
      <c r="A1" s="67" t="s">
        <v>479</v>
      </c>
      <c r="H1" s="66">
        <v>-1</v>
      </c>
      <c r="I1" s="66">
        <v>0</v>
      </c>
      <c r="J1" s="66">
        <f t="shared" ref="J1:AH1" si="0">I1+1</f>
        <v>1</v>
      </c>
      <c r="K1" s="66">
        <f t="shared" si="0"/>
        <v>2</v>
      </c>
      <c r="L1" s="66">
        <f t="shared" si="0"/>
        <v>3</v>
      </c>
      <c r="M1" s="66">
        <f t="shared" si="0"/>
        <v>4</v>
      </c>
      <c r="N1" s="66">
        <f t="shared" si="0"/>
        <v>5</v>
      </c>
      <c r="O1" s="66">
        <f t="shared" si="0"/>
        <v>6</v>
      </c>
      <c r="P1" s="66">
        <f t="shared" si="0"/>
        <v>7</v>
      </c>
      <c r="Q1" s="66">
        <f t="shared" si="0"/>
        <v>8</v>
      </c>
      <c r="R1" s="66">
        <f t="shared" si="0"/>
        <v>9</v>
      </c>
      <c r="S1" s="66">
        <f t="shared" si="0"/>
        <v>10</v>
      </c>
      <c r="T1" s="66">
        <f t="shared" si="0"/>
        <v>11</v>
      </c>
      <c r="U1" s="66">
        <f t="shared" si="0"/>
        <v>12</v>
      </c>
      <c r="V1" s="66">
        <f t="shared" si="0"/>
        <v>13</v>
      </c>
      <c r="W1" s="66">
        <f t="shared" si="0"/>
        <v>14</v>
      </c>
      <c r="X1" s="66">
        <f t="shared" si="0"/>
        <v>15</v>
      </c>
      <c r="Y1" s="66">
        <f t="shared" si="0"/>
        <v>16</v>
      </c>
      <c r="Z1" s="66">
        <f t="shared" si="0"/>
        <v>17</v>
      </c>
      <c r="AA1" s="66">
        <f t="shared" si="0"/>
        <v>18</v>
      </c>
      <c r="AB1" s="66">
        <f t="shared" si="0"/>
        <v>19</v>
      </c>
      <c r="AC1" s="66">
        <f t="shared" si="0"/>
        <v>20</v>
      </c>
      <c r="AD1" s="66">
        <f t="shared" si="0"/>
        <v>21</v>
      </c>
      <c r="AE1" s="66">
        <f t="shared" si="0"/>
        <v>22</v>
      </c>
      <c r="AF1" s="66">
        <f t="shared" si="0"/>
        <v>23</v>
      </c>
      <c r="AG1" s="66">
        <f t="shared" si="0"/>
        <v>24</v>
      </c>
      <c r="AH1" s="66">
        <f t="shared" si="0"/>
        <v>25</v>
      </c>
    </row>
    <row r="2" spans="1:35" s="67" customFormat="1" x14ac:dyDescent="0.2">
      <c r="E2" s="67" t="s">
        <v>6</v>
      </c>
      <c r="F2" s="67" t="s">
        <v>7</v>
      </c>
      <c r="H2" s="67">
        <v>2019</v>
      </c>
      <c r="I2" s="67">
        <v>2020</v>
      </c>
      <c r="J2" s="67">
        <f t="shared" ref="J2:AH2" si="1">I2+1</f>
        <v>2021</v>
      </c>
      <c r="K2" s="67">
        <f t="shared" si="1"/>
        <v>2022</v>
      </c>
      <c r="L2" s="67">
        <f t="shared" si="1"/>
        <v>2023</v>
      </c>
      <c r="M2" s="67">
        <f t="shared" si="1"/>
        <v>2024</v>
      </c>
      <c r="N2" s="67">
        <f t="shared" si="1"/>
        <v>2025</v>
      </c>
      <c r="O2" s="67">
        <f t="shared" si="1"/>
        <v>2026</v>
      </c>
      <c r="P2" s="67">
        <f t="shared" si="1"/>
        <v>2027</v>
      </c>
      <c r="Q2" s="67">
        <f t="shared" si="1"/>
        <v>2028</v>
      </c>
      <c r="R2" s="67">
        <f t="shared" si="1"/>
        <v>2029</v>
      </c>
      <c r="S2" s="67">
        <f t="shared" si="1"/>
        <v>2030</v>
      </c>
      <c r="T2" s="67">
        <f t="shared" si="1"/>
        <v>2031</v>
      </c>
      <c r="U2" s="67">
        <f t="shared" si="1"/>
        <v>2032</v>
      </c>
      <c r="V2" s="67">
        <f t="shared" si="1"/>
        <v>2033</v>
      </c>
      <c r="W2" s="67">
        <f t="shared" si="1"/>
        <v>2034</v>
      </c>
      <c r="X2" s="67">
        <f t="shared" si="1"/>
        <v>2035</v>
      </c>
      <c r="Y2" s="67">
        <f t="shared" si="1"/>
        <v>2036</v>
      </c>
      <c r="Z2" s="67">
        <f t="shared" si="1"/>
        <v>2037</v>
      </c>
      <c r="AA2" s="67">
        <f t="shared" si="1"/>
        <v>2038</v>
      </c>
      <c r="AB2" s="67">
        <f t="shared" si="1"/>
        <v>2039</v>
      </c>
      <c r="AC2" s="67">
        <f t="shared" si="1"/>
        <v>2040</v>
      </c>
      <c r="AD2" s="67">
        <f t="shared" si="1"/>
        <v>2041</v>
      </c>
      <c r="AE2" s="67">
        <f t="shared" si="1"/>
        <v>2042</v>
      </c>
      <c r="AF2" s="67">
        <f t="shared" si="1"/>
        <v>2043</v>
      </c>
      <c r="AG2" s="67">
        <f t="shared" si="1"/>
        <v>2044</v>
      </c>
      <c r="AH2" s="67">
        <f t="shared" si="1"/>
        <v>2045</v>
      </c>
    </row>
    <row r="3" spans="1:35" x14ac:dyDescent="0.2">
      <c r="A3" s="1"/>
      <c r="B3" s="1"/>
    </row>
    <row r="4" spans="1:35" x14ac:dyDescent="0.2">
      <c r="A4" s="1"/>
      <c r="B4" s="1"/>
      <c r="C4" s="1" t="s">
        <v>271</v>
      </c>
    </row>
    <row r="5" spans="1:35" x14ac:dyDescent="0.2">
      <c r="A5" s="1"/>
      <c r="B5" s="1"/>
      <c r="D5" t="s">
        <v>261</v>
      </c>
      <c r="E5" t="s">
        <v>9</v>
      </c>
      <c r="G5" s="86">
        <v>1300000</v>
      </c>
      <c r="H5" s="11"/>
      <c r="I5" s="12"/>
    </row>
    <row r="6" spans="1:35" x14ac:dyDescent="0.2">
      <c r="A6" s="1"/>
      <c r="B6" s="1"/>
      <c r="D6" t="s">
        <v>262</v>
      </c>
      <c r="E6" t="s">
        <v>9</v>
      </c>
      <c r="G6" s="86">
        <v>647000</v>
      </c>
      <c r="H6" s="11"/>
      <c r="I6" s="12"/>
    </row>
    <row r="7" spans="1:35" x14ac:dyDescent="0.2">
      <c r="A7" s="1"/>
      <c r="B7" s="1"/>
      <c r="D7" t="s">
        <v>263</v>
      </c>
      <c r="E7" t="s">
        <v>264</v>
      </c>
      <c r="G7" s="87">
        <v>1.4999999999999999E-2</v>
      </c>
      <c r="I7" s="12"/>
    </row>
    <row r="8" spans="1:35" x14ac:dyDescent="0.2">
      <c r="A8" s="1"/>
      <c r="B8" s="1"/>
      <c r="D8" t="s">
        <v>265</v>
      </c>
      <c r="E8" t="s">
        <v>28</v>
      </c>
      <c r="G8" s="88"/>
      <c r="H8" s="40">
        <v>1.7000000000000001E-2</v>
      </c>
      <c r="I8" s="40">
        <f t="shared" ref="I8:AH8" si="2">H8+$G7</f>
        <v>3.2000000000000001E-2</v>
      </c>
      <c r="J8" s="40">
        <f t="shared" si="2"/>
        <v>4.7E-2</v>
      </c>
      <c r="K8" s="40">
        <f t="shared" si="2"/>
        <v>6.2E-2</v>
      </c>
      <c r="L8" s="40">
        <f t="shared" si="2"/>
        <v>7.6999999999999999E-2</v>
      </c>
      <c r="M8" s="40">
        <f t="shared" si="2"/>
        <v>9.1999999999999998E-2</v>
      </c>
      <c r="N8" s="40">
        <f t="shared" si="2"/>
        <v>0.107</v>
      </c>
      <c r="O8" s="40">
        <f t="shared" si="2"/>
        <v>0.122</v>
      </c>
      <c r="P8" s="40">
        <f t="shared" si="2"/>
        <v>0.13700000000000001</v>
      </c>
      <c r="Q8" s="40">
        <f t="shared" si="2"/>
        <v>0.15200000000000002</v>
      </c>
      <c r="R8" s="40">
        <f t="shared" si="2"/>
        <v>0.16700000000000004</v>
      </c>
      <c r="S8" s="40">
        <f t="shared" si="2"/>
        <v>0.18200000000000005</v>
      </c>
      <c r="T8" s="40">
        <f t="shared" si="2"/>
        <v>0.19700000000000006</v>
      </c>
      <c r="U8" s="40">
        <f t="shared" si="2"/>
        <v>0.21200000000000008</v>
      </c>
      <c r="V8" s="40">
        <f t="shared" si="2"/>
        <v>0.22700000000000009</v>
      </c>
      <c r="W8" s="40">
        <f t="shared" si="2"/>
        <v>0.2420000000000001</v>
      </c>
      <c r="X8" s="40">
        <f t="shared" si="2"/>
        <v>0.25700000000000012</v>
      </c>
      <c r="Y8" s="40">
        <f t="shared" si="2"/>
        <v>0.27200000000000013</v>
      </c>
      <c r="Z8" s="40">
        <f t="shared" si="2"/>
        <v>0.28700000000000014</v>
      </c>
      <c r="AA8" s="40">
        <f t="shared" si="2"/>
        <v>0.30200000000000016</v>
      </c>
      <c r="AB8" s="40">
        <f t="shared" si="2"/>
        <v>0.31700000000000017</v>
      </c>
      <c r="AC8" s="40">
        <f t="shared" si="2"/>
        <v>0.33200000000000018</v>
      </c>
      <c r="AD8" s="40">
        <f t="shared" si="2"/>
        <v>0.3470000000000002</v>
      </c>
      <c r="AE8" s="40">
        <f t="shared" si="2"/>
        <v>0.36200000000000021</v>
      </c>
      <c r="AF8" s="40">
        <f t="shared" si="2"/>
        <v>0.37700000000000022</v>
      </c>
      <c r="AG8" s="40">
        <f t="shared" si="2"/>
        <v>0.39200000000000024</v>
      </c>
      <c r="AH8" s="40">
        <f t="shared" si="2"/>
        <v>0.40700000000000025</v>
      </c>
    </row>
    <row r="9" spans="1:35" x14ac:dyDescent="0.2">
      <c r="A9" s="1"/>
      <c r="B9" s="1"/>
      <c r="D9" t="s">
        <v>270</v>
      </c>
      <c r="E9" t="s">
        <v>9</v>
      </c>
      <c r="G9" s="88"/>
      <c r="H9" s="11">
        <f t="shared" ref="H9:M9" si="3">$G6*H8</f>
        <v>10999</v>
      </c>
      <c r="I9" s="82">
        <f t="shared" si="3"/>
        <v>20704</v>
      </c>
      <c r="J9" s="11">
        <f t="shared" si="3"/>
        <v>30409</v>
      </c>
      <c r="K9" s="11">
        <f>$G6*K8*0.8</f>
        <v>32091.200000000001</v>
      </c>
      <c r="L9" s="11">
        <f>$G6*L8*0.8</f>
        <v>39855.200000000004</v>
      </c>
      <c r="M9" s="11">
        <f t="shared" si="3"/>
        <v>59524</v>
      </c>
      <c r="N9" s="11">
        <f>$G6*N8</f>
        <v>69229</v>
      </c>
      <c r="O9" s="11">
        <f>$G6*O8</f>
        <v>78934</v>
      </c>
      <c r="P9" s="11">
        <f t="shared" ref="P9:AG9" si="4">$G6*P8</f>
        <v>88639</v>
      </c>
      <c r="Q9" s="11">
        <f t="shared" si="4"/>
        <v>98344.000000000015</v>
      </c>
      <c r="R9" s="11">
        <f t="shared" si="4"/>
        <v>108049.00000000003</v>
      </c>
      <c r="S9" s="11">
        <f t="shared" si="4"/>
        <v>117754.00000000003</v>
      </c>
      <c r="T9" s="11">
        <f t="shared" si="4"/>
        <v>127459.00000000004</v>
      </c>
      <c r="U9" s="11">
        <f t="shared" si="4"/>
        <v>137164.00000000006</v>
      </c>
      <c r="V9" s="11">
        <f t="shared" si="4"/>
        <v>146869.00000000006</v>
      </c>
      <c r="W9" s="11">
        <f t="shared" si="4"/>
        <v>156574.00000000006</v>
      </c>
      <c r="X9" s="11">
        <f t="shared" si="4"/>
        <v>166279.00000000009</v>
      </c>
      <c r="Y9" s="11">
        <f t="shared" si="4"/>
        <v>175984.00000000009</v>
      </c>
      <c r="Z9" s="11">
        <f t="shared" si="4"/>
        <v>185689.00000000009</v>
      </c>
      <c r="AA9" s="11">
        <f t="shared" si="4"/>
        <v>195394.00000000009</v>
      </c>
      <c r="AB9" s="11">
        <f t="shared" si="4"/>
        <v>205099.00000000012</v>
      </c>
      <c r="AC9" s="11">
        <f t="shared" si="4"/>
        <v>214804.00000000012</v>
      </c>
      <c r="AD9" s="11">
        <f t="shared" si="4"/>
        <v>224509.00000000012</v>
      </c>
      <c r="AE9" s="11">
        <f t="shared" si="4"/>
        <v>234214.00000000015</v>
      </c>
      <c r="AF9" s="11">
        <f t="shared" si="4"/>
        <v>243919.00000000015</v>
      </c>
      <c r="AG9" s="11">
        <f t="shared" si="4"/>
        <v>253624.00000000015</v>
      </c>
      <c r="AH9" s="11">
        <f t="shared" ref="AH9" si="5">$G6*AH8</f>
        <v>263329.00000000017</v>
      </c>
      <c r="AI9" s="12">
        <f>AG12-AG9</f>
        <v>786375.99999999988</v>
      </c>
    </row>
    <row r="10" spans="1:35" x14ac:dyDescent="0.2">
      <c r="A10" s="1"/>
      <c r="B10" s="1"/>
      <c r="D10" t="s">
        <v>266</v>
      </c>
      <c r="E10" t="s">
        <v>28</v>
      </c>
      <c r="G10" s="87">
        <v>3.5000000000000003E-2</v>
      </c>
      <c r="H10" s="11"/>
      <c r="I10" s="82"/>
      <c r="J10" s="11"/>
      <c r="K10" s="11"/>
      <c r="L10" s="11"/>
      <c r="M10" s="11"/>
      <c r="N10" s="11"/>
      <c r="O10" s="11"/>
      <c r="P10" s="11"/>
    </row>
    <row r="11" spans="1:35" x14ac:dyDescent="0.2">
      <c r="A11" s="1"/>
      <c r="B11" s="1"/>
      <c r="D11" t="s">
        <v>269</v>
      </c>
      <c r="E11" t="s">
        <v>267</v>
      </c>
      <c r="G11" s="23"/>
      <c r="H11" s="41"/>
      <c r="I11" s="19"/>
      <c r="J11" s="14">
        <v>0.05</v>
      </c>
      <c r="K11" s="14">
        <v>0.08</v>
      </c>
      <c r="L11" s="14">
        <v>0.1</v>
      </c>
      <c r="M11" s="14">
        <v>0.4</v>
      </c>
      <c r="N11" s="14">
        <v>0.55000000000000004</v>
      </c>
      <c r="O11" s="14">
        <v>0.63</v>
      </c>
      <c r="P11" s="14">
        <f>O11+$G10</f>
        <v>0.66500000000000004</v>
      </c>
      <c r="Q11" s="14">
        <f>P11+$G10</f>
        <v>0.70000000000000007</v>
      </c>
      <c r="R11" s="14">
        <f>Q11+$G10</f>
        <v>0.7350000000000001</v>
      </c>
      <c r="S11" s="14">
        <f>R11+$G10</f>
        <v>0.77000000000000013</v>
      </c>
      <c r="T11" s="14">
        <v>0.8</v>
      </c>
      <c r="U11" s="14">
        <v>0.8</v>
      </c>
      <c r="V11" s="14">
        <v>0.8</v>
      </c>
      <c r="W11" s="14">
        <v>0.8</v>
      </c>
      <c r="X11" s="14">
        <v>0.8</v>
      </c>
      <c r="Y11" s="14">
        <v>0.8</v>
      </c>
      <c r="Z11" s="14">
        <v>0.8</v>
      </c>
      <c r="AA11" s="14">
        <v>0.8</v>
      </c>
      <c r="AB11" s="14">
        <v>0.8</v>
      </c>
      <c r="AC11" s="14">
        <v>0.8</v>
      </c>
      <c r="AD11" s="14">
        <v>0.8</v>
      </c>
      <c r="AE11" s="14">
        <v>0.8</v>
      </c>
      <c r="AF11" s="14">
        <v>0.8</v>
      </c>
      <c r="AG11" s="14">
        <v>0.8</v>
      </c>
      <c r="AH11" s="14">
        <v>0.8</v>
      </c>
    </row>
    <row r="12" spans="1:35" x14ac:dyDescent="0.2">
      <c r="A12" s="1"/>
      <c r="B12" s="1"/>
      <c r="D12" t="s">
        <v>268</v>
      </c>
      <c r="E12" t="s">
        <v>9</v>
      </c>
      <c r="G12" s="23"/>
      <c r="H12" s="41">
        <f>H9</f>
        <v>10999</v>
      </c>
      <c r="I12" s="83">
        <f>I9</f>
        <v>20704</v>
      </c>
      <c r="J12" s="12">
        <f t="shared" ref="J12:AG12" si="6">J11*$G5</f>
        <v>65000</v>
      </c>
      <c r="K12" s="12">
        <f t="shared" si="6"/>
        <v>104000</v>
      </c>
      <c r="L12" s="12">
        <f t="shared" si="6"/>
        <v>130000</v>
      </c>
      <c r="M12" s="12">
        <f t="shared" si="6"/>
        <v>520000</v>
      </c>
      <c r="N12" s="12">
        <f t="shared" si="6"/>
        <v>715000</v>
      </c>
      <c r="O12" s="12">
        <f t="shared" si="6"/>
        <v>819000</v>
      </c>
      <c r="P12" s="12">
        <f t="shared" si="6"/>
        <v>864500</v>
      </c>
      <c r="Q12" s="12">
        <f t="shared" si="6"/>
        <v>910000.00000000012</v>
      </c>
      <c r="R12" s="12">
        <f t="shared" si="6"/>
        <v>955500.00000000012</v>
      </c>
      <c r="S12" s="12">
        <f t="shared" si="6"/>
        <v>1001000.0000000001</v>
      </c>
      <c r="T12" s="12">
        <f t="shared" si="6"/>
        <v>1040000</v>
      </c>
      <c r="U12" s="12">
        <f t="shared" si="6"/>
        <v>1040000</v>
      </c>
      <c r="V12" s="12">
        <f t="shared" si="6"/>
        <v>1040000</v>
      </c>
      <c r="W12" s="12">
        <f t="shared" si="6"/>
        <v>1040000</v>
      </c>
      <c r="X12" s="12">
        <f t="shared" si="6"/>
        <v>1040000</v>
      </c>
      <c r="Y12" s="12">
        <f t="shared" si="6"/>
        <v>1040000</v>
      </c>
      <c r="Z12" s="12">
        <f t="shared" si="6"/>
        <v>1040000</v>
      </c>
      <c r="AA12" s="12">
        <f t="shared" si="6"/>
        <v>1040000</v>
      </c>
      <c r="AB12" s="12">
        <f t="shared" si="6"/>
        <v>1040000</v>
      </c>
      <c r="AC12" s="12">
        <f t="shared" si="6"/>
        <v>1040000</v>
      </c>
      <c r="AD12" s="12">
        <f t="shared" si="6"/>
        <v>1040000</v>
      </c>
      <c r="AE12" s="12">
        <f t="shared" si="6"/>
        <v>1040000</v>
      </c>
      <c r="AF12" s="12">
        <f t="shared" si="6"/>
        <v>1040000</v>
      </c>
      <c r="AG12" s="12">
        <f t="shared" si="6"/>
        <v>1040000</v>
      </c>
      <c r="AH12" s="12">
        <f t="shared" ref="AH12" si="7">AH11*$G5</f>
        <v>1040000</v>
      </c>
    </row>
    <row r="13" spans="1:35" x14ac:dyDescent="0.2">
      <c r="AG13" s="12"/>
      <c r="AH13" s="12"/>
    </row>
    <row r="14" spans="1:35" x14ac:dyDescent="0.2">
      <c r="C14" s="1" t="s">
        <v>274</v>
      </c>
      <c r="F14" t="s">
        <v>273</v>
      </c>
      <c r="G14" t="s">
        <v>272</v>
      </c>
      <c r="I14" t="s">
        <v>494</v>
      </c>
    </row>
    <row r="15" spans="1:35" x14ac:dyDescent="0.2">
      <c r="F15">
        <f t="shared" ref="F15:F30" si="8">F16-1</f>
        <v>2001</v>
      </c>
      <c r="G15">
        <v>1.3542000000000001</v>
      </c>
      <c r="I15">
        <v>1.4575</v>
      </c>
    </row>
    <row r="16" spans="1:35" x14ac:dyDescent="0.2">
      <c r="F16">
        <f t="shared" si="8"/>
        <v>2002</v>
      </c>
      <c r="G16">
        <v>1.3338000000000001</v>
      </c>
      <c r="I16">
        <v>1.4347999999999999</v>
      </c>
    </row>
    <row r="17" spans="6:9" x14ac:dyDescent="0.2">
      <c r="F17">
        <f t="shared" si="8"/>
        <v>2003</v>
      </c>
      <c r="G17">
        <v>1.3077000000000001</v>
      </c>
      <c r="I17">
        <v>1.4028</v>
      </c>
    </row>
    <row r="18" spans="6:9" x14ac:dyDescent="0.2">
      <c r="F18">
        <f t="shared" si="8"/>
        <v>2004</v>
      </c>
      <c r="G18">
        <v>1.2726999999999999</v>
      </c>
      <c r="I18">
        <v>1.3663999999999998</v>
      </c>
    </row>
    <row r="19" spans="6:9" x14ac:dyDescent="0.2">
      <c r="F19">
        <f t="shared" si="8"/>
        <v>2005</v>
      </c>
      <c r="G19">
        <v>1.2330000000000001</v>
      </c>
      <c r="I19">
        <v>1.3215999999999999</v>
      </c>
    </row>
    <row r="20" spans="6:9" x14ac:dyDescent="0.2">
      <c r="F20">
        <f t="shared" si="8"/>
        <v>2006</v>
      </c>
      <c r="G20">
        <v>1.1961999999999999</v>
      </c>
      <c r="I20">
        <v>1.2803</v>
      </c>
    </row>
    <row r="21" spans="6:9" x14ac:dyDescent="0.2">
      <c r="F21">
        <f t="shared" si="8"/>
        <v>2007</v>
      </c>
      <c r="G21">
        <v>1.1652</v>
      </c>
      <c r="I21">
        <v>1.2803</v>
      </c>
    </row>
    <row r="22" spans="6:9" x14ac:dyDescent="0.2">
      <c r="F22">
        <f t="shared" si="8"/>
        <v>2008</v>
      </c>
      <c r="G22">
        <v>1.1428</v>
      </c>
      <c r="I22">
        <v>1.1987999999999999</v>
      </c>
    </row>
    <row r="23" spans="6:9" x14ac:dyDescent="0.2">
      <c r="F23">
        <f t="shared" si="8"/>
        <v>2009</v>
      </c>
      <c r="G23">
        <v>1.1342000000000001</v>
      </c>
      <c r="I23">
        <v>1.2031000000000001</v>
      </c>
    </row>
    <row r="24" spans="6:9" x14ac:dyDescent="0.2">
      <c r="F24">
        <f t="shared" si="8"/>
        <v>2010</v>
      </c>
      <c r="G24">
        <v>1.1205000000000001</v>
      </c>
      <c r="I24">
        <v>1.1837</v>
      </c>
    </row>
    <row r="25" spans="6:9" x14ac:dyDescent="0.2">
      <c r="F25">
        <f t="shared" si="8"/>
        <v>2011</v>
      </c>
      <c r="G25">
        <v>1.0979000000000001</v>
      </c>
      <c r="I25">
        <v>1.1475</v>
      </c>
    </row>
    <row r="26" spans="6:9" x14ac:dyDescent="0.2">
      <c r="F26">
        <f t="shared" si="8"/>
        <v>2012</v>
      </c>
      <c r="G26">
        <v>1.0780000000000001</v>
      </c>
      <c r="I26">
        <v>1.1242000000000001</v>
      </c>
    </row>
    <row r="27" spans="6:9" x14ac:dyDescent="0.2">
      <c r="F27">
        <f t="shared" si="8"/>
        <v>2013</v>
      </c>
      <c r="G27">
        <v>1.0609</v>
      </c>
      <c r="I27">
        <v>1.1079999999999999</v>
      </c>
    </row>
    <row r="28" spans="6:9" x14ac:dyDescent="0.2">
      <c r="F28">
        <f t="shared" si="8"/>
        <v>2014</v>
      </c>
      <c r="G28">
        <v>1.0422</v>
      </c>
      <c r="I28">
        <v>1.0903</v>
      </c>
    </row>
    <row r="29" spans="6:9" x14ac:dyDescent="0.2">
      <c r="F29">
        <f t="shared" si="8"/>
        <v>2015</v>
      </c>
      <c r="G29">
        <v>1.0309999999999999</v>
      </c>
      <c r="I29">
        <v>1.089</v>
      </c>
    </row>
    <row r="30" spans="6:9" x14ac:dyDescent="0.2">
      <c r="F30">
        <f t="shared" si="8"/>
        <v>2016</v>
      </c>
      <c r="G30">
        <v>1.018</v>
      </c>
      <c r="I30">
        <v>1.0754000000000001</v>
      </c>
    </row>
    <row r="31" spans="6:9" x14ac:dyDescent="0.2">
      <c r="F31">
        <v>2017</v>
      </c>
      <c r="G31">
        <v>1</v>
      </c>
      <c r="I31">
        <v>1.0529999999999999</v>
      </c>
    </row>
    <row r="32" spans="6:9" x14ac:dyDescent="0.2">
      <c r="F32">
        <f>F31+1</f>
        <v>2018</v>
      </c>
      <c r="I32">
        <v>1.0273999999999999</v>
      </c>
    </row>
    <row r="33" spans="3:34" s="66" customFormat="1" x14ac:dyDescent="0.2">
      <c r="F33" s="66">
        <f>F32+1</f>
        <v>2019</v>
      </c>
      <c r="I33">
        <v>1.0095999999999998</v>
      </c>
    </row>
    <row r="34" spans="3:34" s="66" customFormat="1" x14ac:dyDescent="0.2">
      <c r="F34" s="66">
        <f>F33+1</f>
        <v>2020</v>
      </c>
      <c r="I34" s="66">
        <v>1</v>
      </c>
    </row>
    <row r="35" spans="3:34" x14ac:dyDescent="0.2">
      <c r="C35" s="1" t="s">
        <v>279</v>
      </c>
    </row>
    <row r="36" spans="3:34" x14ac:dyDescent="0.2">
      <c r="D36" t="s">
        <v>280</v>
      </c>
      <c r="H36">
        <f>(1+7%)^'3_MODEL_main'!G1</f>
        <v>1</v>
      </c>
      <c r="I36" s="66">
        <f>(1+7%)^'3_MODEL_main'!H1</f>
        <v>0.93457943925233644</v>
      </c>
      <c r="J36" s="66">
        <f>(1+7%)^'3_MODEL_main'!I1</f>
        <v>1</v>
      </c>
      <c r="K36" s="66">
        <f>(1+7%)^'3_MODEL_main'!J1</f>
        <v>1.07</v>
      </c>
      <c r="L36" s="66">
        <f>(1+7%)^'3_MODEL_main'!K1</f>
        <v>1.1449</v>
      </c>
      <c r="M36" s="66">
        <f>(1+7%)^'3_MODEL_main'!L1</f>
        <v>1.2250430000000001</v>
      </c>
      <c r="N36" s="66">
        <f>(1+7%)^'3_MODEL_main'!M1</f>
        <v>1.31079601</v>
      </c>
      <c r="O36" s="66">
        <f>(1+7%)^'3_MODEL_main'!N1</f>
        <v>1.4025517307000002</v>
      </c>
      <c r="P36" s="66">
        <f>(1+7%)^'3_MODEL_main'!O1</f>
        <v>1.5007303518490001</v>
      </c>
      <c r="Q36" s="66">
        <f>(1+7%)^'3_MODEL_main'!P1</f>
        <v>1.6057814764784302</v>
      </c>
      <c r="R36" s="66">
        <f>(1+7%)^'3_MODEL_main'!Q1</f>
        <v>1.7181861798319202</v>
      </c>
      <c r="S36" s="66">
        <f>(1+7%)^'3_MODEL_main'!R1</f>
        <v>1.8384592124201549</v>
      </c>
      <c r="T36" s="66">
        <f>(1+7%)^'3_MODEL_main'!S1</f>
        <v>1.9671513572895656</v>
      </c>
      <c r="U36" s="66">
        <f>(1+7%)^'3_MODEL_main'!T1</f>
        <v>2.1048519522998355</v>
      </c>
      <c r="V36" s="66">
        <f>(1+7%)^'3_MODEL_main'!U1</f>
        <v>2.2521915889608235</v>
      </c>
      <c r="W36" s="66">
        <f>(1+7%)^'3_MODEL_main'!V1</f>
        <v>2.4098450001880813</v>
      </c>
      <c r="X36" s="66">
        <f>(1+7%)^'3_MODEL_main'!W1</f>
        <v>2.5785341502012469</v>
      </c>
      <c r="Y36" s="66">
        <f>(1+7%)^'3_MODEL_main'!X1</f>
        <v>2.7590315407153345</v>
      </c>
      <c r="Z36" s="66">
        <f>(1+7%)^'3_MODEL_main'!Y1</f>
        <v>2.9521637485654075</v>
      </c>
      <c r="AA36" s="66">
        <f>(1+7%)^'3_MODEL_main'!Z1</f>
        <v>3.1588152109649861</v>
      </c>
      <c r="AB36" s="66">
        <f>(1+7%)^'3_MODEL_main'!AA1</f>
        <v>3.3799322757325352</v>
      </c>
      <c r="AC36" s="66">
        <f>(1+7%)^'3_MODEL_main'!AB1</f>
        <v>3.6165275350338129</v>
      </c>
      <c r="AD36" s="66">
        <f>(1+7%)^'3_MODEL_main'!AC1</f>
        <v>3.8696844624861795</v>
      </c>
      <c r="AE36" s="66">
        <f>(1+7%)^'3_MODEL_main'!AD1</f>
        <v>4.1405623748602123</v>
      </c>
      <c r="AF36" s="66">
        <f>(1+7%)^'3_MODEL_main'!AE1</f>
        <v>4.4304017411004271</v>
      </c>
      <c r="AG36" s="66">
        <f>(1+7%)^'3_MODEL_main'!AF1</f>
        <v>4.740529862977457</v>
      </c>
      <c r="AH36" s="66">
        <f>(1+7%)^'3_MODEL_main'!AG1</f>
        <v>5.0723669533858793</v>
      </c>
    </row>
    <row r="37" spans="3:34" x14ac:dyDescent="0.2">
      <c r="D37" t="s">
        <v>281</v>
      </c>
      <c r="G37">
        <v>2020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FEC8-18D5-4A65-A5AC-A40974D37549}">
  <dimension ref="A1:AG3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8.83203125" defaultRowHeight="15" x14ac:dyDescent="0.2"/>
  <cols>
    <col min="1" max="1" width="3.5" customWidth="1"/>
    <col min="2" max="2" width="5.83203125" customWidth="1"/>
    <col min="3" max="3" width="41.5" customWidth="1"/>
    <col min="5" max="5" width="24.1640625" customWidth="1"/>
    <col min="6" max="6" width="13.6640625" customWidth="1"/>
    <col min="7" max="7" width="13.6640625" hidden="1" customWidth="1"/>
    <col min="8" max="32" width="13.6640625" customWidth="1"/>
    <col min="33" max="33" width="13.6640625" style="66" customWidth="1"/>
  </cols>
  <sheetData>
    <row r="1" spans="1:33" s="66" customFormat="1" x14ac:dyDescent="0.2">
      <c r="A1" s="67" t="s">
        <v>476</v>
      </c>
      <c r="G1" s="66">
        <v>-1</v>
      </c>
      <c r="H1" s="66">
        <v>0</v>
      </c>
      <c r="I1" s="66">
        <f t="shared" ref="I1:AG2" si="0">H1+1</f>
        <v>1</v>
      </c>
      <c r="J1" s="66">
        <f t="shared" si="0"/>
        <v>2</v>
      </c>
      <c r="K1" s="66">
        <f t="shared" si="0"/>
        <v>3</v>
      </c>
      <c r="L1" s="66">
        <f t="shared" si="0"/>
        <v>4</v>
      </c>
      <c r="M1" s="66">
        <f t="shared" si="0"/>
        <v>5</v>
      </c>
      <c r="N1" s="66">
        <f t="shared" si="0"/>
        <v>6</v>
      </c>
      <c r="O1" s="66">
        <f t="shared" si="0"/>
        <v>7</v>
      </c>
      <c r="P1" s="66">
        <f t="shared" si="0"/>
        <v>8</v>
      </c>
      <c r="Q1" s="66">
        <f t="shared" si="0"/>
        <v>9</v>
      </c>
      <c r="R1" s="66">
        <f t="shared" si="0"/>
        <v>10</v>
      </c>
      <c r="S1" s="66">
        <f t="shared" si="0"/>
        <v>11</v>
      </c>
      <c r="T1" s="66">
        <f t="shared" si="0"/>
        <v>12</v>
      </c>
      <c r="U1" s="66">
        <f t="shared" si="0"/>
        <v>13</v>
      </c>
      <c r="V1" s="66">
        <f t="shared" si="0"/>
        <v>14</v>
      </c>
      <c r="W1" s="66">
        <f t="shared" si="0"/>
        <v>15</v>
      </c>
      <c r="X1" s="66">
        <f t="shared" si="0"/>
        <v>16</v>
      </c>
      <c r="Y1" s="66">
        <f t="shared" si="0"/>
        <v>17</v>
      </c>
      <c r="Z1" s="66">
        <f t="shared" si="0"/>
        <v>18</v>
      </c>
      <c r="AA1" s="66">
        <f t="shared" si="0"/>
        <v>19</v>
      </c>
      <c r="AB1" s="66">
        <f t="shared" si="0"/>
        <v>20</v>
      </c>
      <c r="AC1" s="66">
        <f t="shared" si="0"/>
        <v>21</v>
      </c>
      <c r="AD1" s="66">
        <f t="shared" si="0"/>
        <v>22</v>
      </c>
      <c r="AE1" s="66">
        <f t="shared" si="0"/>
        <v>23</v>
      </c>
      <c r="AF1" s="66">
        <f t="shared" si="0"/>
        <v>24</v>
      </c>
      <c r="AG1" s="66">
        <f t="shared" si="0"/>
        <v>25</v>
      </c>
    </row>
    <row r="2" spans="1:33" s="67" customFormat="1" x14ac:dyDescent="0.2">
      <c r="D2" s="67" t="s">
        <v>6</v>
      </c>
      <c r="E2" s="67" t="s">
        <v>7</v>
      </c>
      <c r="F2" s="67" t="s">
        <v>513</v>
      </c>
      <c r="G2" s="67">
        <v>2019</v>
      </c>
      <c r="H2" s="67">
        <v>2020</v>
      </c>
      <c r="I2" s="67">
        <f>H2+1</f>
        <v>2021</v>
      </c>
      <c r="J2" s="67">
        <f t="shared" si="0"/>
        <v>2022</v>
      </c>
      <c r="K2" s="67">
        <f t="shared" si="0"/>
        <v>2023</v>
      </c>
      <c r="L2" s="67">
        <f t="shared" si="0"/>
        <v>2024</v>
      </c>
      <c r="M2" s="67">
        <f t="shared" si="0"/>
        <v>2025</v>
      </c>
      <c r="N2" s="67">
        <f t="shared" si="0"/>
        <v>2026</v>
      </c>
      <c r="O2" s="67">
        <f t="shared" si="0"/>
        <v>2027</v>
      </c>
      <c r="P2" s="67">
        <f t="shared" si="0"/>
        <v>2028</v>
      </c>
      <c r="Q2" s="67">
        <f t="shared" si="0"/>
        <v>2029</v>
      </c>
      <c r="R2" s="67">
        <f t="shared" si="0"/>
        <v>2030</v>
      </c>
      <c r="S2" s="67">
        <f t="shared" si="0"/>
        <v>2031</v>
      </c>
      <c r="T2" s="67">
        <f t="shared" si="0"/>
        <v>2032</v>
      </c>
      <c r="U2" s="67">
        <f t="shared" si="0"/>
        <v>2033</v>
      </c>
      <c r="V2" s="67">
        <f t="shared" si="0"/>
        <v>2034</v>
      </c>
      <c r="W2" s="67">
        <f t="shared" si="0"/>
        <v>2035</v>
      </c>
      <c r="X2" s="67">
        <f t="shared" si="0"/>
        <v>2036</v>
      </c>
      <c r="Y2" s="67">
        <f t="shared" si="0"/>
        <v>2037</v>
      </c>
      <c r="Z2" s="67">
        <f t="shared" si="0"/>
        <v>2038</v>
      </c>
      <c r="AA2" s="67">
        <f t="shared" si="0"/>
        <v>2039</v>
      </c>
      <c r="AB2" s="67">
        <f t="shared" si="0"/>
        <v>2040</v>
      </c>
      <c r="AC2" s="67">
        <f t="shared" si="0"/>
        <v>2041</v>
      </c>
      <c r="AD2" s="67">
        <f t="shared" si="0"/>
        <v>2042</v>
      </c>
      <c r="AE2" s="67">
        <f t="shared" si="0"/>
        <v>2043</v>
      </c>
      <c r="AF2" s="67">
        <f t="shared" si="0"/>
        <v>2044</v>
      </c>
      <c r="AG2" s="67">
        <f t="shared" si="0"/>
        <v>2045</v>
      </c>
    </row>
    <row r="3" spans="1:33" s="25" customFormat="1" ht="15" customHeight="1" x14ac:dyDescent="0.2">
      <c r="B3" s="115" t="s">
        <v>403</v>
      </c>
      <c r="C3" s="25" t="s">
        <v>492</v>
      </c>
      <c r="D3" s="25" t="s">
        <v>171</v>
      </c>
      <c r="E3" s="25" t="s">
        <v>493</v>
      </c>
      <c r="F3" s="25">
        <f t="shared" ref="F3:F11" si="1">SUM(G3:K3)</f>
        <v>10920250</v>
      </c>
      <c r="I3" s="84"/>
      <c r="J3" s="84">
        <v>10920250</v>
      </c>
      <c r="K3" s="84"/>
    </row>
    <row r="4" spans="1:33" s="25" customFormat="1" x14ac:dyDescent="0.2">
      <c r="B4" s="115"/>
      <c r="C4" s="25" t="s">
        <v>183</v>
      </c>
      <c r="D4" s="25" t="s">
        <v>171</v>
      </c>
      <c r="E4" s="25" t="s">
        <v>493</v>
      </c>
      <c r="F4" s="25">
        <f t="shared" si="1"/>
        <v>11195778</v>
      </c>
      <c r="I4" s="84"/>
      <c r="J4" s="84">
        <v>6532889</v>
      </c>
      <c r="K4" s="84">
        <v>4662889</v>
      </c>
    </row>
    <row r="5" spans="1:33" s="25" customFormat="1" x14ac:dyDescent="0.2">
      <c r="B5" s="115"/>
      <c r="C5" s="25" t="s">
        <v>490</v>
      </c>
      <c r="D5" s="25" t="s">
        <v>171</v>
      </c>
      <c r="E5" s="25" t="s">
        <v>493</v>
      </c>
      <c r="F5" s="25">
        <v>8700000</v>
      </c>
      <c r="I5" s="84"/>
      <c r="J5" s="84">
        <v>8736200</v>
      </c>
      <c r="K5" s="84"/>
    </row>
    <row r="6" spans="1:33" s="25" customFormat="1" x14ac:dyDescent="0.2">
      <c r="B6" s="115"/>
      <c r="C6" s="25" t="s">
        <v>491</v>
      </c>
      <c r="D6" s="25" t="s">
        <v>171</v>
      </c>
      <c r="E6" s="25" t="s">
        <v>493</v>
      </c>
      <c r="F6" s="25">
        <f t="shared" si="1"/>
        <v>366885</v>
      </c>
      <c r="J6" s="84"/>
      <c r="K6" s="84">
        <v>366885</v>
      </c>
      <c r="L6" s="25">
        <v>3450553</v>
      </c>
    </row>
    <row r="7" spans="1:33" s="25" customFormat="1" x14ac:dyDescent="0.2">
      <c r="B7" s="115"/>
      <c r="J7" s="84"/>
      <c r="K7" s="84"/>
    </row>
    <row r="8" spans="1:33" s="25" customFormat="1" x14ac:dyDescent="0.2">
      <c r="B8" s="115"/>
      <c r="J8" s="84"/>
      <c r="K8" s="84"/>
    </row>
    <row r="9" spans="1:33" s="25" customFormat="1" x14ac:dyDescent="0.2">
      <c r="B9" s="107"/>
      <c r="F9" s="25">
        <f t="shared" si="1"/>
        <v>0</v>
      </c>
      <c r="H9" s="25">
        <v>0</v>
      </c>
    </row>
    <row r="10" spans="1:33" s="25" customFormat="1" x14ac:dyDescent="0.2">
      <c r="B10" s="107"/>
      <c r="C10" s="25" t="s">
        <v>526</v>
      </c>
      <c r="D10" s="25" t="s">
        <v>171</v>
      </c>
      <c r="F10" s="25">
        <f>SUM(G10:K10)</f>
        <v>364275510</v>
      </c>
      <c r="H10" s="25">
        <f>364275510/4</f>
        <v>91068877.5</v>
      </c>
      <c r="I10" s="25">
        <f>364275510/4</f>
        <v>91068877.5</v>
      </c>
      <c r="J10" s="25">
        <f>364275510/4</f>
        <v>91068877.5</v>
      </c>
      <c r="K10" s="25">
        <f>364275510/4</f>
        <v>91068877.5</v>
      </c>
    </row>
    <row r="11" spans="1:33" s="25" customFormat="1" x14ac:dyDescent="0.2">
      <c r="C11" s="25" t="s">
        <v>19</v>
      </c>
      <c r="D11" s="25" t="s">
        <v>171</v>
      </c>
      <c r="F11" s="25">
        <f t="shared" si="1"/>
        <v>395494623</v>
      </c>
      <c r="H11" s="25">
        <f>SUM(H3:H10)</f>
        <v>91068877.5</v>
      </c>
      <c r="I11" s="25">
        <f>SUM(I3:I10)</f>
        <v>91068877.5</v>
      </c>
      <c r="J11" s="25">
        <f>SUM(J3:J10)</f>
        <v>117258216.5</v>
      </c>
      <c r="K11" s="25">
        <f>SUM(K3:K10)</f>
        <v>96098651.5</v>
      </c>
    </row>
    <row r="12" spans="1:33" s="61" customFormat="1" x14ac:dyDescent="0.2">
      <c r="C12" s="61" t="s">
        <v>318</v>
      </c>
      <c r="D12" s="61" t="s">
        <v>171</v>
      </c>
      <c r="F12" s="62">
        <f>SUM(G12:AF12)</f>
        <v>382035978.60422963</v>
      </c>
      <c r="G12" s="62">
        <f>G11/'1_MODEL_assumptions'!H$36</f>
        <v>0</v>
      </c>
      <c r="H12" s="62">
        <f>H11/'1_MODEL_assumptions'!I$36</f>
        <v>97443698.924999997</v>
      </c>
      <c r="I12" s="62">
        <f>I11/'1_MODEL_assumptions'!J$36</f>
        <v>91068877.5</v>
      </c>
      <c r="J12" s="62">
        <f>J11/'1_MODEL_assumptions'!K$36</f>
        <v>109587118.22429906</v>
      </c>
      <c r="K12" s="62">
        <f>K11/'1_MODEL_assumptions'!L$36</f>
        <v>83936283.954930559</v>
      </c>
      <c r="L12" s="62">
        <f>L11/'1_MODEL_assumptions'!M$36</f>
        <v>0</v>
      </c>
      <c r="M12" s="62">
        <f>M11/'1_MODEL_assumptions'!N$36</f>
        <v>0</v>
      </c>
      <c r="N12" s="62">
        <f>N11/'1_MODEL_assumptions'!O$36</f>
        <v>0</v>
      </c>
      <c r="O12" s="62">
        <f>O11/'1_MODEL_assumptions'!P$36</f>
        <v>0</v>
      </c>
      <c r="P12" s="62">
        <f>P11/'1_MODEL_assumptions'!Q$36</f>
        <v>0</v>
      </c>
      <c r="Q12" s="62">
        <f>Q11/'1_MODEL_assumptions'!R$36</f>
        <v>0</v>
      </c>
      <c r="R12" s="62">
        <f>R11/'1_MODEL_assumptions'!S$36</f>
        <v>0</v>
      </c>
      <c r="S12" s="62">
        <f>S11/'1_MODEL_assumptions'!T$36</f>
        <v>0</v>
      </c>
      <c r="T12" s="62">
        <f>T11/'1_MODEL_assumptions'!U$36</f>
        <v>0</v>
      </c>
      <c r="U12" s="62">
        <f>U11/'1_MODEL_assumptions'!V$36</f>
        <v>0</v>
      </c>
      <c r="V12" s="62">
        <f>V11/'1_MODEL_assumptions'!W$36</f>
        <v>0</v>
      </c>
      <c r="W12" s="62">
        <f>W11/'1_MODEL_assumptions'!X$36</f>
        <v>0</v>
      </c>
      <c r="X12" s="62">
        <f>X11/'1_MODEL_assumptions'!Y$36</f>
        <v>0</v>
      </c>
      <c r="Y12" s="62">
        <f>Y11/'1_MODEL_assumptions'!Z$36</f>
        <v>0</v>
      </c>
      <c r="Z12" s="62">
        <f>Z11/'1_MODEL_assumptions'!AA$36</f>
        <v>0</v>
      </c>
      <c r="AA12" s="62">
        <f>AA11/'1_MODEL_assumptions'!AB$36</f>
        <v>0</v>
      </c>
      <c r="AB12" s="62">
        <f>AB11/'1_MODEL_assumptions'!AC$36</f>
        <v>0</v>
      </c>
      <c r="AC12" s="62">
        <f>AC11/'1_MODEL_assumptions'!AD$36</f>
        <v>0</v>
      </c>
      <c r="AD12" s="62">
        <f>AD11/'1_MODEL_assumptions'!AE$36</f>
        <v>0</v>
      </c>
      <c r="AE12" s="62">
        <f>AE11/'1_MODEL_assumptions'!AF$36</f>
        <v>0</v>
      </c>
      <c r="AF12" s="62">
        <f>AF11/'1_MODEL_assumptions'!AG$36</f>
        <v>0</v>
      </c>
      <c r="AG12" s="62">
        <f>AG11/'1_MODEL_assumptions'!AH$36</f>
        <v>0</v>
      </c>
    </row>
    <row r="14" spans="1:33" ht="15" customHeight="1" x14ac:dyDescent="0.2">
      <c r="B14" s="116" t="s">
        <v>474</v>
      </c>
      <c r="C14" t="s">
        <v>253</v>
      </c>
      <c r="D14" s="25" t="s">
        <v>171</v>
      </c>
      <c r="F14" s="25">
        <f t="shared" ref="F14:F22" si="2">SUM(H14:AF14)</f>
        <v>3720000</v>
      </c>
      <c r="H14" s="25"/>
      <c r="I14" s="25">
        <f>J14/4</f>
        <v>40000</v>
      </c>
      <c r="J14" s="25">
        <v>160000</v>
      </c>
      <c r="K14" s="25">
        <f t="shared" ref="K14:AG14" si="3">J14</f>
        <v>160000</v>
      </c>
      <c r="L14" s="25">
        <f t="shared" si="3"/>
        <v>160000</v>
      </c>
      <c r="M14" s="25">
        <f t="shared" si="3"/>
        <v>160000</v>
      </c>
      <c r="N14" s="25">
        <f t="shared" si="3"/>
        <v>160000</v>
      </c>
      <c r="O14" s="25">
        <f t="shared" si="3"/>
        <v>160000</v>
      </c>
      <c r="P14" s="25">
        <f t="shared" si="3"/>
        <v>160000</v>
      </c>
      <c r="Q14" s="25">
        <f t="shared" si="3"/>
        <v>160000</v>
      </c>
      <c r="R14" s="25">
        <f t="shared" si="3"/>
        <v>160000</v>
      </c>
      <c r="S14" s="25">
        <f t="shared" si="3"/>
        <v>160000</v>
      </c>
      <c r="T14" s="25">
        <f t="shared" si="3"/>
        <v>160000</v>
      </c>
      <c r="U14" s="25">
        <f t="shared" si="3"/>
        <v>160000</v>
      </c>
      <c r="V14" s="25">
        <f t="shared" si="3"/>
        <v>160000</v>
      </c>
      <c r="W14" s="25">
        <f t="shared" si="3"/>
        <v>160000</v>
      </c>
      <c r="X14" s="25">
        <f t="shared" si="3"/>
        <v>160000</v>
      </c>
      <c r="Y14" s="25">
        <f t="shared" si="3"/>
        <v>160000</v>
      </c>
      <c r="Z14" s="25">
        <f t="shared" si="3"/>
        <v>160000</v>
      </c>
      <c r="AA14" s="25">
        <f t="shared" si="3"/>
        <v>160000</v>
      </c>
      <c r="AB14" s="25">
        <f t="shared" si="3"/>
        <v>160000</v>
      </c>
      <c r="AC14" s="25">
        <f t="shared" si="3"/>
        <v>160000</v>
      </c>
      <c r="AD14" s="25">
        <f t="shared" si="3"/>
        <v>160000</v>
      </c>
      <c r="AE14" s="25">
        <f t="shared" si="3"/>
        <v>160000</v>
      </c>
      <c r="AF14" s="25">
        <f t="shared" si="3"/>
        <v>160000</v>
      </c>
      <c r="AG14" s="25">
        <f t="shared" si="3"/>
        <v>160000</v>
      </c>
    </row>
    <row r="15" spans="1:33" x14ac:dyDescent="0.2">
      <c r="B15" s="116"/>
      <c r="C15" t="s">
        <v>183</v>
      </c>
      <c r="D15" s="25" t="s">
        <v>171</v>
      </c>
      <c r="E15" s="81" t="s">
        <v>487</v>
      </c>
      <c r="F15" s="25">
        <f t="shared" si="2"/>
        <v>2362500</v>
      </c>
      <c r="H15" s="25"/>
      <c r="I15" s="25">
        <f>AVERAGE(100000,110000)/3*1/2</f>
        <v>17500</v>
      </c>
      <c r="J15" s="25">
        <f>AVERAGE(100000,110000)/3*1/2+AVERAGE(100000,110000)/3</f>
        <v>52500</v>
      </c>
      <c r="K15" s="25">
        <f>AVERAGE(100000,110000)/3*1/2+AVERAGE(100000,110000)/3*2</f>
        <v>87500</v>
      </c>
      <c r="L15" s="25">
        <f>AVERAGE(110000,100000)</f>
        <v>105000</v>
      </c>
      <c r="M15" s="25">
        <f t="shared" ref="M15:AG15" si="4">L15</f>
        <v>105000</v>
      </c>
      <c r="N15" s="25">
        <f t="shared" si="4"/>
        <v>105000</v>
      </c>
      <c r="O15" s="25">
        <f t="shared" si="4"/>
        <v>105000</v>
      </c>
      <c r="P15" s="25">
        <f t="shared" si="4"/>
        <v>105000</v>
      </c>
      <c r="Q15" s="25">
        <f t="shared" si="4"/>
        <v>105000</v>
      </c>
      <c r="R15" s="25">
        <f t="shared" si="4"/>
        <v>105000</v>
      </c>
      <c r="S15" s="25">
        <f t="shared" si="4"/>
        <v>105000</v>
      </c>
      <c r="T15" s="25">
        <f t="shared" si="4"/>
        <v>105000</v>
      </c>
      <c r="U15" s="25">
        <f t="shared" si="4"/>
        <v>105000</v>
      </c>
      <c r="V15" s="25">
        <f t="shared" si="4"/>
        <v>105000</v>
      </c>
      <c r="W15" s="25">
        <f t="shared" si="4"/>
        <v>105000</v>
      </c>
      <c r="X15" s="25">
        <f t="shared" si="4"/>
        <v>105000</v>
      </c>
      <c r="Y15" s="25">
        <f t="shared" si="4"/>
        <v>105000</v>
      </c>
      <c r="Z15" s="25">
        <f t="shared" si="4"/>
        <v>105000</v>
      </c>
      <c r="AA15" s="25">
        <f t="shared" si="4"/>
        <v>105000</v>
      </c>
      <c r="AB15" s="25">
        <f t="shared" si="4"/>
        <v>105000</v>
      </c>
      <c r="AC15" s="25">
        <f t="shared" si="4"/>
        <v>105000</v>
      </c>
      <c r="AD15" s="25">
        <f t="shared" si="4"/>
        <v>105000</v>
      </c>
      <c r="AE15" s="25">
        <f t="shared" si="4"/>
        <v>105000</v>
      </c>
      <c r="AF15" s="25">
        <f t="shared" si="4"/>
        <v>105000</v>
      </c>
      <c r="AG15" s="25">
        <f t="shared" si="4"/>
        <v>105000</v>
      </c>
    </row>
    <row r="16" spans="1:33" x14ac:dyDescent="0.2">
      <c r="B16" s="116"/>
      <c r="C16" t="s">
        <v>184</v>
      </c>
      <c r="D16" s="25" t="s">
        <v>171</v>
      </c>
      <c r="E16" s="81" t="s">
        <v>488</v>
      </c>
      <c r="F16" s="25">
        <f t="shared" si="2"/>
        <v>12750000</v>
      </c>
      <c r="H16" s="25"/>
      <c r="I16" s="25"/>
      <c r="J16" s="25"/>
      <c r="K16" s="25">
        <f>L16*0.25</f>
        <v>150000</v>
      </c>
      <c r="L16" s="25">
        <f>560000/1400*'4_MODELsub_ElecReferRacks'!C16</f>
        <v>600000</v>
      </c>
      <c r="M16" s="25">
        <f t="shared" ref="M16:AG16" si="5">L16</f>
        <v>600000</v>
      </c>
      <c r="N16" s="25">
        <f t="shared" si="5"/>
        <v>600000</v>
      </c>
      <c r="O16" s="25">
        <f t="shared" si="5"/>
        <v>600000</v>
      </c>
      <c r="P16" s="25">
        <f t="shared" si="5"/>
        <v>600000</v>
      </c>
      <c r="Q16" s="25">
        <f t="shared" si="5"/>
        <v>600000</v>
      </c>
      <c r="R16" s="25">
        <f t="shared" si="5"/>
        <v>600000</v>
      </c>
      <c r="S16" s="25">
        <f t="shared" si="5"/>
        <v>600000</v>
      </c>
      <c r="T16" s="25">
        <f t="shared" si="5"/>
        <v>600000</v>
      </c>
      <c r="U16" s="25">
        <f t="shared" si="5"/>
        <v>600000</v>
      </c>
      <c r="V16" s="25">
        <f t="shared" si="5"/>
        <v>600000</v>
      </c>
      <c r="W16" s="25">
        <f t="shared" si="5"/>
        <v>600000</v>
      </c>
      <c r="X16" s="25">
        <f t="shared" si="5"/>
        <v>600000</v>
      </c>
      <c r="Y16" s="25">
        <f t="shared" si="5"/>
        <v>600000</v>
      </c>
      <c r="Z16" s="25">
        <f t="shared" si="5"/>
        <v>600000</v>
      </c>
      <c r="AA16" s="25">
        <f t="shared" si="5"/>
        <v>600000</v>
      </c>
      <c r="AB16" s="25">
        <f t="shared" si="5"/>
        <v>600000</v>
      </c>
      <c r="AC16" s="25">
        <f t="shared" si="5"/>
        <v>600000</v>
      </c>
      <c r="AD16" s="25">
        <f t="shared" si="5"/>
        <v>600000</v>
      </c>
      <c r="AE16" s="25">
        <f t="shared" si="5"/>
        <v>600000</v>
      </c>
      <c r="AF16" s="25">
        <f t="shared" si="5"/>
        <v>600000</v>
      </c>
      <c r="AG16" s="25">
        <f t="shared" si="5"/>
        <v>600000</v>
      </c>
    </row>
    <row r="17" spans="2:33" x14ac:dyDescent="0.2">
      <c r="B17" s="116"/>
      <c r="C17" t="s">
        <v>2</v>
      </c>
      <c r="D17" s="25" t="s">
        <v>171</v>
      </c>
      <c r="E17" s="81" t="s">
        <v>489</v>
      </c>
      <c r="F17" s="25">
        <f t="shared" si="2"/>
        <v>210000</v>
      </c>
      <c r="H17" s="25"/>
      <c r="I17" s="25"/>
      <c r="J17" s="25"/>
      <c r="K17" s="25"/>
      <c r="L17" s="25">
        <v>10000</v>
      </c>
      <c r="M17" s="25">
        <f t="shared" ref="M17:AG17" si="6">L17</f>
        <v>10000</v>
      </c>
      <c r="N17" s="25">
        <f t="shared" si="6"/>
        <v>10000</v>
      </c>
      <c r="O17" s="25">
        <f t="shared" si="6"/>
        <v>10000</v>
      </c>
      <c r="P17" s="25">
        <f t="shared" si="6"/>
        <v>10000</v>
      </c>
      <c r="Q17" s="25">
        <f t="shared" si="6"/>
        <v>10000</v>
      </c>
      <c r="R17" s="25">
        <f t="shared" si="6"/>
        <v>10000</v>
      </c>
      <c r="S17" s="25">
        <f t="shared" si="6"/>
        <v>10000</v>
      </c>
      <c r="T17" s="25">
        <f t="shared" si="6"/>
        <v>10000</v>
      </c>
      <c r="U17" s="25">
        <f t="shared" si="6"/>
        <v>10000</v>
      </c>
      <c r="V17" s="25">
        <f t="shared" si="6"/>
        <v>10000</v>
      </c>
      <c r="W17" s="25">
        <f t="shared" si="6"/>
        <v>10000</v>
      </c>
      <c r="X17" s="25">
        <f t="shared" si="6"/>
        <v>10000</v>
      </c>
      <c r="Y17" s="25">
        <f t="shared" si="6"/>
        <v>10000</v>
      </c>
      <c r="Z17" s="25">
        <f t="shared" si="6"/>
        <v>10000</v>
      </c>
      <c r="AA17" s="25">
        <f t="shared" si="6"/>
        <v>10000</v>
      </c>
      <c r="AB17" s="25">
        <f t="shared" si="6"/>
        <v>10000</v>
      </c>
      <c r="AC17" s="25">
        <f t="shared" si="6"/>
        <v>10000</v>
      </c>
      <c r="AD17" s="25">
        <f t="shared" si="6"/>
        <v>10000</v>
      </c>
      <c r="AE17" s="25">
        <f t="shared" si="6"/>
        <v>10000</v>
      </c>
      <c r="AF17" s="25">
        <f t="shared" si="6"/>
        <v>10000</v>
      </c>
      <c r="AG17" s="25">
        <f t="shared" si="6"/>
        <v>10000</v>
      </c>
    </row>
    <row r="18" spans="2:33" x14ac:dyDescent="0.2">
      <c r="B18" s="116"/>
      <c r="C18" s="80"/>
      <c r="D18" s="25" t="s">
        <v>171</v>
      </c>
      <c r="F18" s="25">
        <f t="shared" si="2"/>
        <v>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2:33" x14ac:dyDescent="0.2">
      <c r="B19" s="116"/>
      <c r="C19" s="80"/>
      <c r="D19" s="25" t="s">
        <v>171</v>
      </c>
      <c r="F19" s="25">
        <f t="shared" si="2"/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2:33" x14ac:dyDescent="0.2">
      <c r="B20" s="116"/>
      <c r="C20" t="s">
        <v>252</v>
      </c>
      <c r="D20" s="25" t="s">
        <v>171</v>
      </c>
      <c r="F20" s="25">
        <f t="shared" si="2"/>
        <v>705000</v>
      </c>
      <c r="H20" s="25"/>
      <c r="I20" s="84">
        <v>0</v>
      </c>
      <c r="J20" s="84">
        <v>246750</v>
      </c>
      <c r="K20" s="84">
        <v>246750</v>
      </c>
      <c r="L20" s="25">
        <v>211500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2:33" x14ac:dyDescent="0.2">
      <c r="B21" s="108"/>
      <c r="C21" t="s">
        <v>526</v>
      </c>
      <c r="D21" s="25" t="s">
        <v>171</v>
      </c>
      <c r="F21" s="25">
        <f t="shared" si="2"/>
        <v>29775000</v>
      </c>
      <c r="H21" s="25"/>
      <c r="I21" s="25">
        <f>1500000*('1_MODEL_assumptions'!J11/0.8)</f>
        <v>93750</v>
      </c>
      <c r="J21" s="25">
        <f>1500000*('1_MODEL_assumptions'!K11/0.8)</f>
        <v>150000</v>
      </c>
      <c r="K21" s="25">
        <f>1500000*('1_MODEL_assumptions'!L11/0.8)</f>
        <v>187500</v>
      </c>
      <c r="L21" s="25">
        <f>1500000*('1_MODEL_assumptions'!M11/0.8)</f>
        <v>750000</v>
      </c>
      <c r="M21" s="25">
        <f>1500000*('1_MODEL_assumptions'!N11/0.8)</f>
        <v>1031250</v>
      </c>
      <c r="N21" s="25">
        <f>1500000*('1_MODEL_assumptions'!O11/0.8)</f>
        <v>1181250</v>
      </c>
      <c r="O21" s="25">
        <f>1500000*('1_MODEL_assumptions'!P11/0.8)</f>
        <v>1246875</v>
      </c>
      <c r="P21" s="25">
        <f>1500000*('1_MODEL_assumptions'!Q11/0.8)</f>
        <v>1312500</v>
      </c>
      <c r="Q21" s="25">
        <f>1500000*('1_MODEL_assumptions'!R11/0.8)</f>
        <v>1378125</v>
      </c>
      <c r="R21" s="25">
        <f>1500000*('1_MODEL_assumptions'!S11/0.8)</f>
        <v>1443750.0000000002</v>
      </c>
      <c r="S21" s="25">
        <f>1500000*('1_MODEL_assumptions'!T11/0.8)</f>
        <v>1500000</v>
      </c>
      <c r="T21" s="25">
        <f t="shared" ref="T21:AG21" si="7">S21</f>
        <v>1500000</v>
      </c>
      <c r="U21" s="25">
        <f t="shared" si="7"/>
        <v>1500000</v>
      </c>
      <c r="V21" s="25">
        <f t="shared" si="7"/>
        <v>1500000</v>
      </c>
      <c r="W21" s="25">
        <f t="shared" si="7"/>
        <v>1500000</v>
      </c>
      <c r="X21" s="25">
        <f t="shared" si="7"/>
        <v>1500000</v>
      </c>
      <c r="Y21" s="25">
        <f t="shared" si="7"/>
        <v>1500000</v>
      </c>
      <c r="Z21" s="25">
        <f t="shared" si="7"/>
        <v>1500000</v>
      </c>
      <c r="AA21" s="25">
        <f t="shared" si="7"/>
        <v>1500000</v>
      </c>
      <c r="AB21" s="25">
        <f t="shared" si="7"/>
        <v>1500000</v>
      </c>
      <c r="AC21" s="25">
        <f t="shared" si="7"/>
        <v>1500000</v>
      </c>
      <c r="AD21" s="25">
        <f t="shared" si="7"/>
        <v>1500000</v>
      </c>
      <c r="AE21" s="25">
        <f t="shared" si="7"/>
        <v>1500000</v>
      </c>
      <c r="AF21" s="25">
        <f t="shared" si="7"/>
        <v>1500000</v>
      </c>
      <c r="AG21" s="25">
        <f t="shared" si="7"/>
        <v>1500000</v>
      </c>
    </row>
    <row r="22" spans="2:33" s="1" customFormat="1" x14ac:dyDescent="0.2">
      <c r="C22" s="1" t="s">
        <v>19</v>
      </c>
      <c r="D22" s="25" t="s">
        <v>171</v>
      </c>
      <c r="F22" s="25">
        <f t="shared" si="2"/>
        <v>49522500</v>
      </c>
      <c r="H22" s="28">
        <f t="shared" ref="H22:AF22" si="8">SUM(H14:H21)</f>
        <v>0</v>
      </c>
      <c r="I22" s="28">
        <f t="shared" si="8"/>
        <v>151250</v>
      </c>
      <c r="J22" s="28">
        <f t="shared" si="8"/>
        <v>609250</v>
      </c>
      <c r="K22" s="28">
        <f t="shared" si="8"/>
        <v>831750</v>
      </c>
      <c r="L22" s="28">
        <f t="shared" si="8"/>
        <v>1836500</v>
      </c>
      <c r="M22" s="28">
        <f t="shared" si="8"/>
        <v>1906250</v>
      </c>
      <c r="N22" s="28">
        <f t="shared" si="8"/>
        <v>2056250</v>
      </c>
      <c r="O22" s="28">
        <f t="shared" si="8"/>
        <v>2121875</v>
      </c>
      <c r="P22" s="28">
        <f t="shared" si="8"/>
        <v>2187500</v>
      </c>
      <c r="Q22" s="28">
        <f t="shared" si="8"/>
        <v>2253125</v>
      </c>
      <c r="R22" s="28">
        <f t="shared" si="8"/>
        <v>2318750</v>
      </c>
      <c r="S22" s="28">
        <f t="shared" si="8"/>
        <v>2375000</v>
      </c>
      <c r="T22" s="28">
        <f t="shared" si="8"/>
        <v>2375000</v>
      </c>
      <c r="U22" s="28">
        <f t="shared" si="8"/>
        <v>2375000</v>
      </c>
      <c r="V22" s="28">
        <f t="shared" si="8"/>
        <v>2375000</v>
      </c>
      <c r="W22" s="28">
        <f t="shared" si="8"/>
        <v>2375000</v>
      </c>
      <c r="X22" s="28">
        <f t="shared" si="8"/>
        <v>2375000</v>
      </c>
      <c r="Y22" s="28">
        <f t="shared" si="8"/>
        <v>2375000</v>
      </c>
      <c r="Z22" s="28">
        <f t="shared" si="8"/>
        <v>2375000</v>
      </c>
      <c r="AA22" s="28">
        <f t="shared" si="8"/>
        <v>2375000</v>
      </c>
      <c r="AB22" s="28">
        <f t="shared" si="8"/>
        <v>2375000</v>
      </c>
      <c r="AC22" s="28">
        <f t="shared" si="8"/>
        <v>2375000</v>
      </c>
      <c r="AD22" s="28">
        <f t="shared" si="8"/>
        <v>2375000</v>
      </c>
      <c r="AE22" s="28">
        <f t="shared" si="8"/>
        <v>2375000</v>
      </c>
      <c r="AF22" s="28">
        <f t="shared" si="8"/>
        <v>2375000</v>
      </c>
      <c r="AG22" s="28">
        <f t="shared" ref="AG22" si="9">SUM(AG14:AG21)</f>
        <v>2375000</v>
      </c>
    </row>
    <row r="23" spans="2:33" s="61" customFormat="1" x14ac:dyDescent="0.2">
      <c r="C23" s="61" t="s">
        <v>318</v>
      </c>
      <c r="D23" s="61" t="s">
        <v>171</v>
      </c>
      <c r="F23" s="62">
        <f>SUM(G23:AF23)</f>
        <v>22513117.100381866</v>
      </c>
      <c r="G23" s="62"/>
      <c r="H23" s="62">
        <f>H22/'1_MODEL_assumptions'!I$36</f>
        <v>0</v>
      </c>
      <c r="I23" s="62">
        <f>I22/'1_MODEL_assumptions'!J$36</f>
        <v>151250</v>
      </c>
      <c r="J23" s="62">
        <f>J22/'1_MODEL_assumptions'!K$36</f>
        <v>569392.52336448594</v>
      </c>
      <c r="K23" s="62">
        <f>K22/'1_MODEL_assumptions'!L$36</f>
        <v>726482.66224124376</v>
      </c>
      <c r="L23" s="62">
        <f>L22/'1_MODEL_assumptions'!M$36</f>
        <v>1499131.0509100496</v>
      </c>
      <c r="M23" s="62">
        <f>M22/'1_MODEL_assumptions'!N$36</f>
        <v>1454268.997965595</v>
      </c>
      <c r="N23" s="62">
        <f>N22/'1_MODEL_assumptions'!O$36</f>
        <v>1466077.831563293</v>
      </c>
      <c r="O23" s="62">
        <f>O22/'1_MODEL_assumptions'!P$36</f>
        <v>1413894.9061606626</v>
      </c>
      <c r="P23" s="62">
        <f>P22/'1_MODEL_assumptions'!Q$36</f>
        <v>1362265.0603725431</v>
      </c>
      <c r="Q23" s="62">
        <f>Q22/'1_MODEL_assumptions'!R$36</f>
        <v>1311339.2637231022</v>
      </c>
      <c r="R23" s="62">
        <f>R22/'1_MODEL_assumptions'!S$36</f>
        <v>1261246.3656169933</v>
      </c>
      <c r="S23" s="62">
        <f>S22/'1_MODEL_assumptions'!T$36</f>
        <v>1207329.5688199548</v>
      </c>
      <c r="T23" s="62">
        <f>T22/'1_MODEL_assumptions'!U$36</f>
        <v>1128345.3914205183</v>
      </c>
      <c r="U23" s="62">
        <f>U22/'1_MODEL_assumptions'!V$36</f>
        <v>1054528.4031967463</v>
      </c>
      <c r="V23" s="62">
        <f>V22/'1_MODEL_assumptions'!W$36</f>
        <v>985540.56373527681</v>
      </c>
      <c r="W23" s="62">
        <f>W22/'1_MODEL_assumptions'!X$36</f>
        <v>921065.94741614664</v>
      </c>
      <c r="X23" s="62">
        <f>X22/'1_MODEL_assumptions'!Y$36</f>
        <v>860809.29665060423</v>
      </c>
      <c r="Y23" s="62">
        <f>Y22/'1_MODEL_assumptions'!Z$36</f>
        <v>804494.66976691992</v>
      </c>
      <c r="Z23" s="62">
        <f>Z22/'1_MODEL_assumptions'!AA$36</f>
        <v>751864.17735226161</v>
      </c>
      <c r="AA23" s="62">
        <f>AA22/'1_MODEL_assumptions'!AB$36</f>
        <v>702676.80126379593</v>
      </c>
      <c r="AB23" s="62">
        <f>AB22/'1_MODEL_assumptions'!AC$36</f>
        <v>656707.2909007438</v>
      </c>
      <c r="AC23" s="62">
        <f>AC22/'1_MODEL_assumptions'!AD$36</f>
        <v>613745.1316829382</v>
      </c>
      <c r="AD23" s="62">
        <f>AD22/'1_MODEL_assumptions'!AE$36</f>
        <v>573593.58101209172</v>
      </c>
      <c r="AE23" s="62">
        <f>AE22/'1_MODEL_assumptions'!AF$36</f>
        <v>536068.76730102033</v>
      </c>
      <c r="AF23" s="62">
        <f>AF22/'1_MODEL_assumptions'!AG$36</f>
        <v>500998.8479448788</v>
      </c>
      <c r="AG23" s="62">
        <f>AG22/'1_MODEL_assumptions'!AH$36</f>
        <v>468223.22237839137</v>
      </c>
    </row>
    <row r="26" spans="2:33" x14ac:dyDescent="0.2">
      <c r="B26" s="114" t="s">
        <v>475</v>
      </c>
      <c r="C26" t="s">
        <v>407</v>
      </c>
      <c r="D26" s="25" t="s">
        <v>171</v>
      </c>
      <c r="F26" s="25">
        <f>SUM(H26:AF26)</f>
        <v>40515000</v>
      </c>
      <c r="H26" s="25">
        <v>125000</v>
      </c>
      <c r="I26" s="25">
        <f>H26</f>
        <v>125000</v>
      </c>
      <c r="J26" s="25">
        <f>I26</f>
        <v>125000</v>
      </c>
      <c r="K26" s="25">
        <f>J26</f>
        <v>125000</v>
      </c>
      <c r="L26" s="25">
        <f>K26</f>
        <v>125000</v>
      </c>
      <c r="M26" s="25">
        <f>38000000/2</f>
        <v>19000000</v>
      </c>
      <c r="N26" s="25">
        <f>38000000/2</f>
        <v>19000000</v>
      </c>
      <c r="O26" s="25">
        <f t="shared" ref="O26:AF26" si="10">O15</f>
        <v>105000</v>
      </c>
      <c r="P26" s="25">
        <f t="shared" si="10"/>
        <v>105000</v>
      </c>
      <c r="Q26" s="25">
        <f t="shared" si="10"/>
        <v>105000</v>
      </c>
      <c r="R26" s="25">
        <f t="shared" si="10"/>
        <v>105000</v>
      </c>
      <c r="S26" s="25">
        <f t="shared" si="10"/>
        <v>105000</v>
      </c>
      <c r="T26" s="25">
        <f t="shared" si="10"/>
        <v>105000</v>
      </c>
      <c r="U26" s="25">
        <f t="shared" si="10"/>
        <v>105000</v>
      </c>
      <c r="V26" s="25">
        <f t="shared" si="10"/>
        <v>105000</v>
      </c>
      <c r="W26" s="25">
        <f t="shared" si="10"/>
        <v>105000</v>
      </c>
      <c r="X26" s="25">
        <f t="shared" si="10"/>
        <v>105000</v>
      </c>
      <c r="Y26" s="25">
        <f t="shared" si="10"/>
        <v>105000</v>
      </c>
      <c r="Z26" s="25">
        <f t="shared" si="10"/>
        <v>105000</v>
      </c>
      <c r="AA26" s="25">
        <f t="shared" si="10"/>
        <v>105000</v>
      </c>
      <c r="AB26" s="25">
        <f t="shared" si="10"/>
        <v>105000</v>
      </c>
      <c r="AC26" s="25">
        <f t="shared" si="10"/>
        <v>105000</v>
      </c>
      <c r="AD26" s="25">
        <f t="shared" si="10"/>
        <v>105000</v>
      </c>
      <c r="AE26" s="25">
        <f t="shared" si="10"/>
        <v>105000</v>
      </c>
      <c r="AF26" s="25">
        <f t="shared" si="10"/>
        <v>105000</v>
      </c>
      <c r="AG26" s="25">
        <f t="shared" ref="AG26" si="11">AG15</f>
        <v>105000</v>
      </c>
    </row>
    <row r="27" spans="2:33" x14ac:dyDescent="0.2">
      <c r="B27" s="114"/>
      <c r="C27" t="s">
        <v>404</v>
      </c>
      <c r="D27" s="25" t="s">
        <v>171</v>
      </c>
      <c r="F27" s="25">
        <f>SUM(H27:AF27)</f>
        <v>2226000</v>
      </c>
      <c r="H27" s="25">
        <f>420000*'1_MODEL_assumptions'!I8</f>
        <v>13440</v>
      </c>
      <c r="I27" s="25">
        <f>420000*'1_MODEL_assumptions'!J8</f>
        <v>19740</v>
      </c>
      <c r="J27" s="25">
        <f>420000*'1_MODEL_assumptions'!K8</f>
        <v>26040</v>
      </c>
      <c r="K27" s="25">
        <f>420000*'1_MODEL_assumptions'!L8</f>
        <v>32340</v>
      </c>
      <c r="L27" s="25">
        <f>420000*'1_MODEL_assumptions'!M8</f>
        <v>38640</v>
      </c>
      <c r="M27" s="25">
        <f>420000*'1_MODEL_assumptions'!N8</f>
        <v>44940</v>
      </c>
      <c r="N27" s="25">
        <f>420000*'1_MODEL_assumptions'!O8</f>
        <v>51240</v>
      </c>
      <c r="O27" s="25">
        <f>420000*'1_MODEL_assumptions'!P8</f>
        <v>57540.000000000007</v>
      </c>
      <c r="P27" s="25">
        <f>420000*'1_MODEL_assumptions'!Q8</f>
        <v>63840.000000000007</v>
      </c>
      <c r="Q27" s="25">
        <f>420000*'1_MODEL_assumptions'!R8</f>
        <v>70140.000000000015</v>
      </c>
      <c r="R27" s="25">
        <f>420000*'1_MODEL_assumptions'!S8</f>
        <v>76440.000000000015</v>
      </c>
      <c r="S27" s="25">
        <f>420000*'1_MODEL_assumptions'!T8</f>
        <v>82740.000000000029</v>
      </c>
      <c r="T27" s="25">
        <f>420000*'1_MODEL_assumptions'!U8</f>
        <v>89040.000000000029</v>
      </c>
      <c r="U27" s="25">
        <f>420000*'1_MODEL_assumptions'!V8</f>
        <v>95340.000000000044</v>
      </c>
      <c r="V27" s="25">
        <f>420000*'1_MODEL_assumptions'!W8</f>
        <v>101640.00000000004</v>
      </c>
      <c r="W27" s="25">
        <f>420000*'1_MODEL_assumptions'!X8</f>
        <v>107940.00000000004</v>
      </c>
      <c r="X27" s="25">
        <f>420000*'1_MODEL_assumptions'!Y8</f>
        <v>114240.00000000006</v>
      </c>
      <c r="Y27" s="25">
        <f>420000*'1_MODEL_assumptions'!Z8</f>
        <v>120540.00000000006</v>
      </c>
      <c r="Z27" s="25">
        <f>420000*'1_MODEL_assumptions'!AA8</f>
        <v>126840.00000000007</v>
      </c>
      <c r="AA27" s="25">
        <f>420000*'1_MODEL_assumptions'!AB8</f>
        <v>133140.00000000006</v>
      </c>
      <c r="AB27" s="25">
        <f>420000*'1_MODEL_assumptions'!AC8</f>
        <v>139440.00000000009</v>
      </c>
      <c r="AC27" s="25">
        <f>420000*'1_MODEL_assumptions'!AD8</f>
        <v>145740.00000000009</v>
      </c>
      <c r="AD27" s="25">
        <f>420000*'1_MODEL_assumptions'!AE8</f>
        <v>152040.00000000009</v>
      </c>
      <c r="AE27" s="25">
        <f>420000*'1_MODEL_assumptions'!AF8</f>
        <v>158340.00000000009</v>
      </c>
      <c r="AF27" s="25">
        <f>420000*'1_MODEL_assumptions'!AG8</f>
        <v>164640.00000000009</v>
      </c>
      <c r="AG27" s="25">
        <f>420000*'1_MODEL_assumptions'!AH8</f>
        <v>170940.00000000012</v>
      </c>
    </row>
    <row r="28" spans="2:33" x14ac:dyDescent="0.2">
      <c r="B28" s="114"/>
      <c r="C28" t="s">
        <v>406</v>
      </c>
      <c r="D28" s="25" t="s">
        <v>171</v>
      </c>
      <c r="F28" s="25">
        <f>SUM(H28:AF28)</f>
        <v>9664000</v>
      </c>
      <c r="H28" s="25">
        <f>880000*'1_MODEL_assumptions'!I8</f>
        <v>28160</v>
      </c>
      <c r="I28" s="25">
        <f>880000*'1_MODEL_assumptions'!J8</f>
        <v>41360</v>
      </c>
      <c r="J28" s="25">
        <f>880000*'1_MODEL_assumptions'!K8</f>
        <v>54560</v>
      </c>
      <c r="K28" s="25">
        <f>880000*'1_MODEL_assumptions'!L8</f>
        <v>67760</v>
      </c>
      <c r="L28" s="25">
        <f>880000*'1_MODEL_assumptions'!M8</f>
        <v>80960</v>
      </c>
      <c r="M28" s="25">
        <f>880000*'1_MODEL_assumptions'!N8</f>
        <v>94160</v>
      </c>
      <c r="N28" s="25">
        <f>880000*'1_MODEL_assumptions'!O8</f>
        <v>107360</v>
      </c>
      <c r="O28" s="25">
        <f>880000*'1_MODEL_assumptions'!P8</f>
        <v>120560.00000000001</v>
      </c>
      <c r="P28" s="25">
        <f>880000*'1_MODEL_assumptions'!Q8</f>
        <v>133760.00000000003</v>
      </c>
      <c r="Q28" s="25">
        <f>880000*'1_MODEL_assumptions'!R8+2500000</f>
        <v>2646960</v>
      </c>
      <c r="R28" s="25">
        <f>880000*'1_MODEL_assumptions'!S8</f>
        <v>160160.00000000006</v>
      </c>
      <c r="S28" s="25">
        <f>880000*'1_MODEL_assumptions'!T8</f>
        <v>173360.00000000006</v>
      </c>
      <c r="T28" s="25">
        <f>880000*'1_MODEL_assumptions'!U8</f>
        <v>186560.00000000006</v>
      </c>
      <c r="U28" s="25">
        <f>880000*'1_MODEL_assumptions'!V8</f>
        <v>199760.00000000009</v>
      </c>
      <c r="V28" s="25">
        <f>880000*'1_MODEL_assumptions'!W8</f>
        <v>212960.00000000009</v>
      </c>
      <c r="W28" s="25">
        <f>880000*'1_MODEL_assumptions'!X8</f>
        <v>226160.00000000012</v>
      </c>
      <c r="X28" s="25">
        <f>880000*'1_MODEL_assumptions'!Y8</f>
        <v>239360.00000000012</v>
      </c>
      <c r="Y28" s="25">
        <f>880000*'1_MODEL_assumptions'!Z8</f>
        <v>252560.00000000012</v>
      </c>
      <c r="Z28" s="25">
        <f>880000*'1_MODEL_assumptions'!AA8</f>
        <v>265760.00000000012</v>
      </c>
      <c r="AA28" s="25">
        <f>880000*'1_MODEL_assumptions'!AB8</f>
        <v>278960.00000000017</v>
      </c>
      <c r="AB28" s="25">
        <f>880000*'1_MODEL_assumptions'!AC8+2500000</f>
        <v>2792160</v>
      </c>
      <c r="AC28" s="25">
        <f>880000*'1_MODEL_assumptions'!AD8</f>
        <v>305360.00000000017</v>
      </c>
      <c r="AD28" s="25">
        <f>880000*'1_MODEL_assumptions'!AE8</f>
        <v>318560.00000000017</v>
      </c>
      <c r="AE28" s="25">
        <f>880000*'1_MODEL_assumptions'!AF8</f>
        <v>331760.00000000017</v>
      </c>
      <c r="AF28" s="25">
        <f>880000*'1_MODEL_assumptions'!AG8</f>
        <v>344960.00000000023</v>
      </c>
      <c r="AG28" s="25">
        <f>880000*'1_MODEL_assumptions'!AH8</f>
        <v>358160.00000000023</v>
      </c>
    </row>
    <row r="29" spans="2:33" x14ac:dyDescent="0.2">
      <c r="B29" s="114"/>
      <c r="C29" t="s">
        <v>405</v>
      </c>
      <c r="D29" s="25" t="s">
        <v>171</v>
      </c>
      <c r="F29" s="25">
        <f>SUM(H29:AF29)</f>
        <v>25905000</v>
      </c>
      <c r="H29" s="25">
        <f>2600000*'1_MODEL_assumptions'!I8+485000</f>
        <v>568200</v>
      </c>
      <c r="I29" s="25">
        <f>2600000*'1_MODEL_assumptions'!J8+485000</f>
        <v>607200</v>
      </c>
      <c r="J29" s="25">
        <f>2600000*'1_MODEL_assumptions'!K8+485000</f>
        <v>646200</v>
      </c>
      <c r="K29" s="25">
        <f>2600000*'1_MODEL_assumptions'!L8+485000</f>
        <v>685200</v>
      </c>
      <c r="L29" s="25">
        <f>2600000*'1_MODEL_assumptions'!M8+485000</f>
        <v>724200</v>
      </c>
      <c r="M29" s="25">
        <f>2600000*'1_MODEL_assumptions'!N8+485000</f>
        <v>763200</v>
      </c>
      <c r="N29" s="25">
        <f>2600000*'1_MODEL_assumptions'!O8+485000</f>
        <v>802200</v>
      </c>
      <c r="O29" s="25">
        <f>2600000*'1_MODEL_assumptions'!P8+485000</f>
        <v>841200</v>
      </c>
      <c r="P29" s="25">
        <f>2600000*'1_MODEL_assumptions'!Q8+485000</f>
        <v>880200</v>
      </c>
      <c r="Q29" s="25">
        <f>2600000*'1_MODEL_assumptions'!R8+485000</f>
        <v>919200.00000000012</v>
      </c>
      <c r="R29" s="25">
        <f>2600000*'1_MODEL_assumptions'!S8+485000</f>
        <v>958200.00000000012</v>
      </c>
      <c r="S29" s="25">
        <f>2600000*'1_MODEL_assumptions'!T8+485000</f>
        <v>997200.00000000023</v>
      </c>
      <c r="T29" s="25">
        <f>2600000*'1_MODEL_assumptions'!U8+485000</f>
        <v>1036200.0000000002</v>
      </c>
      <c r="U29" s="25">
        <f>2600000*'1_MODEL_assumptions'!V8+485000</f>
        <v>1075200.0000000002</v>
      </c>
      <c r="V29" s="25">
        <f>2600000*'1_MODEL_assumptions'!W8+485000</f>
        <v>1114200.0000000002</v>
      </c>
      <c r="W29" s="25">
        <f>2600000*'1_MODEL_assumptions'!X8+485000</f>
        <v>1153200.0000000005</v>
      </c>
      <c r="X29" s="25">
        <f>2600000*'1_MODEL_assumptions'!Y8+485000</f>
        <v>1192200.0000000005</v>
      </c>
      <c r="Y29" s="25">
        <f>2600000*'1_MODEL_assumptions'!Z8+485000</f>
        <v>1231200.0000000005</v>
      </c>
      <c r="Z29" s="25">
        <f>2600000*'1_MODEL_assumptions'!AA8+485000</f>
        <v>1270200.0000000005</v>
      </c>
      <c r="AA29" s="25">
        <f>2600000*'1_MODEL_assumptions'!AB8+485000</f>
        <v>1309200.0000000005</v>
      </c>
      <c r="AB29" s="25">
        <f>2600000*'1_MODEL_assumptions'!AC8+485000</f>
        <v>1348200.0000000005</v>
      </c>
      <c r="AC29" s="25">
        <f>2600000*'1_MODEL_assumptions'!AD8+485000</f>
        <v>1387200.0000000005</v>
      </c>
      <c r="AD29" s="25">
        <f>2600000*'1_MODEL_assumptions'!AE8+485000</f>
        <v>1426200.0000000005</v>
      </c>
      <c r="AE29" s="25">
        <f>2600000*'1_MODEL_assumptions'!AF8+485000</f>
        <v>1465200.0000000005</v>
      </c>
      <c r="AF29" s="25">
        <f>2600000*'1_MODEL_assumptions'!AG8+485000</f>
        <v>1504200.0000000005</v>
      </c>
      <c r="AG29" s="25">
        <f>2600000*'1_MODEL_assumptions'!AH8+485000</f>
        <v>1543200.0000000007</v>
      </c>
    </row>
    <row r="30" spans="2:33" x14ac:dyDescent="0.2">
      <c r="C30" t="s">
        <v>19</v>
      </c>
      <c r="D30" s="25" t="s">
        <v>171</v>
      </c>
      <c r="F30" s="25">
        <f>SUM(H30:AF30)</f>
        <v>78310000</v>
      </c>
      <c r="H30" s="25">
        <f t="shared" ref="H30:AF30" si="12">SUM(H26:H29)</f>
        <v>734800</v>
      </c>
      <c r="I30" s="25">
        <f t="shared" si="12"/>
        <v>793300</v>
      </c>
      <c r="J30" s="25">
        <f t="shared" si="12"/>
        <v>851800</v>
      </c>
      <c r="K30" s="25">
        <f t="shared" si="12"/>
        <v>910300</v>
      </c>
      <c r="L30" s="25">
        <f t="shared" si="12"/>
        <v>968800</v>
      </c>
      <c r="M30" s="25">
        <f t="shared" si="12"/>
        <v>19902300</v>
      </c>
      <c r="N30" s="25">
        <f t="shared" si="12"/>
        <v>19960800</v>
      </c>
      <c r="O30" s="25">
        <f t="shared" si="12"/>
        <v>1124300</v>
      </c>
      <c r="P30" s="25">
        <f t="shared" si="12"/>
        <v>1182800</v>
      </c>
      <c r="Q30" s="25">
        <f t="shared" si="12"/>
        <v>3741300</v>
      </c>
      <c r="R30" s="25">
        <f t="shared" si="12"/>
        <v>1299800.0000000002</v>
      </c>
      <c r="S30" s="25">
        <f t="shared" si="12"/>
        <v>1358300.0000000005</v>
      </c>
      <c r="T30" s="25">
        <f t="shared" si="12"/>
        <v>1416800.0000000005</v>
      </c>
      <c r="U30" s="25">
        <f t="shared" si="12"/>
        <v>1475300.0000000005</v>
      </c>
      <c r="V30" s="25">
        <f t="shared" si="12"/>
        <v>1533800.0000000005</v>
      </c>
      <c r="W30" s="25">
        <f t="shared" si="12"/>
        <v>1592300.0000000007</v>
      </c>
      <c r="X30" s="25">
        <f t="shared" si="12"/>
        <v>1650800.0000000007</v>
      </c>
      <c r="Y30" s="25">
        <f t="shared" si="12"/>
        <v>1709300.0000000007</v>
      </c>
      <c r="Z30" s="25">
        <f t="shared" si="12"/>
        <v>1767800.0000000007</v>
      </c>
      <c r="AA30" s="25">
        <f t="shared" si="12"/>
        <v>1826300.0000000007</v>
      </c>
      <c r="AB30" s="25">
        <f t="shared" si="12"/>
        <v>4384800</v>
      </c>
      <c r="AC30" s="25">
        <f t="shared" si="12"/>
        <v>1943300.0000000007</v>
      </c>
      <c r="AD30" s="25">
        <f t="shared" si="12"/>
        <v>2001800.0000000007</v>
      </c>
      <c r="AE30" s="25">
        <f t="shared" si="12"/>
        <v>2060300.0000000007</v>
      </c>
      <c r="AF30" s="25">
        <f t="shared" si="12"/>
        <v>2118800.0000000009</v>
      </c>
      <c r="AG30" s="25">
        <f t="shared" ref="AG30" si="13">SUM(AG26:AG29)</f>
        <v>2177300.0000000009</v>
      </c>
    </row>
    <row r="31" spans="2:33" s="61" customFormat="1" x14ac:dyDescent="0.2">
      <c r="C31" s="61" t="s">
        <v>318</v>
      </c>
      <c r="D31" s="61" t="s">
        <v>171</v>
      </c>
      <c r="F31" s="62">
        <f>SUM(G31:AF31)</f>
        <v>46406927.845927864</v>
      </c>
      <c r="G31" s="62"/>
      <c r="H31" s="64">
        <f>H30/'1_MODEL_assumptions'!I$36</f>
        <v>786236</v>
      </c>
      <c r="I31" s="64">
        <f>I30/'1_MODEL_assumptions'!J$36</f>
        <v>793300</v>
      </c>
      <c r="J31" s="64">
        <f>J30/'1_MODEL_assumptions'!K$36</f>
        <v>796074.76635514013</v>
      </c>
      <c r="K31" s="64">
        <f>K30/'1_MODEL_assumptions'!L$36</f>
        <v>795091.27434710448</v>
      </c>
      <c r="L31" s="64">
        <f>L30/'1_MODEL_assumptions'!M$36</f>
        <v>790829.38313185738</v>
      </c>
      <c r="M31" s="64">
        <f>M30/'1_MODEL_assumptions'!N$36</f>
        <v>15183369.378733462</v>
      </c>
      <c r="N31" s="64">
        <f>N30/'1_MODEL_assumptions'!O$36</f>
        <v>14231774.531437607</v>
      </c>
      <c r="O31" s="64">
        <f>O30/'1_MODEL_assumptions'!P$36</f>
        <v>749168.5622369051</v>
      </c>
      <c r="P31" s="64">
        <f>P30/'1_MODEL_assumptions'!Q$36</f>
        <v>736588.39470109437</v>
      </c>
      <c r="Q31" s="64">
        <f>Q30/'1_MODEL_assumptions'!R$36</f>
        <v>2177470.6629091785</v>
      </c>
      <c r="R31" s="64">
        <f>R30/'1_MODEL_assumptions'!S$36</f>
        <v>707005.07861087576</v>
      </c>
      <c r="S31" s="64">
        <f>S30/'1_MODEL_assumptions'!T$36</f>
        <v>690490.84350658744</v>
      </c>
      <c r="T31" s="64">
        <f>T30/'1_MODEL_assumptions'!U$36</f>
        <v>673111.47392193298</v>
      </c>
      <c r="U31" s="64">
        <f>U30/'1_MODEL_assumptions'!V$36</f>
        <v>655050.84346785699</v>
      </c>
      <c r="V31" s="64">
        <f>V30/'1_MODEL_assumptions'!W$36</f>
        <v>636472.47017143923</v>
      </c>
      <c r="W31" s="64">
        <f>W30/'1_MODEL_assumptions'!X$36</f>
        <v>617521.39287188672</v>
      </c>
      <c r="X31" s="64">
        <f>X30/'1_MODEL_assumptions'!Y$36</f>
        <v>598325.88922560762</v>
      </c>
      <c r="Y31" s="64">
        <f>Y30/'1_MODEL_assumptions'!Z$36</f>
        <v>578999.04801372497</v>
      </c>
      <c r="Z31" s="64">
        <f>Z30/'1_MODEL_assumptions'!AA$36</f>
        <v>559640.2074624541</v>
      </c>
      <c r="AA31" s="64">
        <f>AA30/'1_MODEL_assumptions'!AB$36</f>
        <v>540336.27037813514</v>
      </c>
      <c r="AB31" s="64">
        <f>AB30/'1_MODEL_assumptions'!AC$36</f>
        <v>1212433.7385859289</v>
      </c>
      <c r="AC31" s="64">
        <f>AC30/'1_MODEL_assumptions'!AD$36</f>
        <v>502185.6481681912</v>
      </c>
      <c r="AD31" s="64">
        <f>AD30/'1_MODEL_assumptions'!AE$36</f>
        <v>483460.89704000234</v>
      </c>
      <c r="AE31" s="64">
        <f>AE30/'1_MODEL_assumptions'!AF$36</f>
        <v>465036.8342190705</v>
      </c>
      <c r="AF31" s="64">
        <f>AF30/'1_MODEL_assumptions'!AG$36</f>
        <v>446954.25643183565</v>
      </c>
      <c r="AG31" s="64">
        <f>AG30/'1_MODEL_assumptions'!AH$36</f>
        <v>429247.33561451448</v>
      </c>
    </row>
    <row r="32" spans="2:33" x14ac:dyDescent="0.2">
      <c r="F32" s="26"/>
    </row>
    <row r="33" spans="3:33" x14ac:dyDescent="0.2">
      <c r="C33" t="s">
        <v>408</v>
      </c>
      <c r="D33" s="25" t="s">
        <v>171</v>
      </c>
      <c r="E33" t="s">
        <v>445</v>
      </c>
      <c r="F33" s="60">
        <f>F23-F31</f>
        <v>-23893810.745545998</v>
      </c>
      <c r="H33" s="60">
        <f t="shared" ref="H33:AF33" si="14">H23-H31</f>
        <v>-786236</v>
      </c>
      <c r="I33" s="60">
        <f t="shared" si="14"/>
        <v>-642050</v>
      </c>
      <c r="J33" s="60">
        <f t="shared" si="14"/>
        <v>-226682.24299065419</v>
      </c>
      <c r="K33" s="60">
        <f t="shared" si="14"/>
        <v>-68608.612105860724</v>
      </c>
      <c r="L33" s="60">
        <f t="shared" si="14"/>
        <v>708301.6677781922</v>
      </c>
      <c r="M33" s="60">
        <f t="shared" si="14"/>
        <v>-13729100.380767867</v>
      </c>
      <c r="N33" s="60">
        <f t="shared" si="14"/>
        <v>-12765696.699874315</v>
      </c>
      <c r="O33" s="60">
        <f t="shared" si="14"/>
        <v>664726.34392375755</v>
      </c>
      <c r="P33" s="60">
        <f t="shared" si="14"/>
        <v>625676.66567144869</v>
      </c>
      <c r="Q33" s="60">
        <f t="shared" si="14"/>
        <v>-866131.39918607636</v>
      </c>
      <c r="R33" s="60">
        <f t="shared" si="14"/>
        <v>554241.28700611752</v>
      </c>
      <c r="S33" s="60">
        <f t="shared" si="14"/>
        <v>516838.72531336732</v>
      </c>
      <c r="T33" s="60">
        <f t="shared" si="14"/>
        <v>455233.9174985853</v>
      </c>
      <c r="U33" s="60">
        <f t="shared" si="14"/>
        <v>399477.55972888926</v>
      </c>
      <c r="V33" s="60">
        <f t="shared" si="14"/>
        <v>349068.09356383758</v>
      </c>
      <c r="W33" s="60">
        <f t="shared" si="14"/>
        <v>303544.55454425991</v>
      </c>
      <c r="X33" s="60">
        <f t="shared" si="14"/>
        <v>262483.40742499661</v>
      </c>
      <c r="Y33" s="60">
        <f t="shared" si="14"/>
        <v>225495.62175319495</v>
      </c>
      <c r="Z33" s="60">
        <f t="shared" si="14"/>
        <v>192223.96988980751</v>
      </c>
      <c r="AA33" s="60">
        <f t="shared" si="14"/>
        <v>162340.53088566079</v>
      </c>
      <c r="AB33" s="60">
        <f t="shared" si="14"/>
        <v>-555726.44768518512</v>
      </c>
      <c r="AC33" s="60">
        <f t="shared" si="14"/>
        <v>111559.483514747</v>
      </c>
      <c r="AD33" s="60">
        <f t="shared" si="14"/>
        <v>90132.683972089377</v>
      </c>
      <c r="AE33" s="60">
        <f t="shared" si="14"/>
        <v>71031.933081949828</v>
      </c>
      <c r="AF33" s="60">
        <f t="shared" si="14"/>
        <v>54044.591513043153</v>
      </c>
      <c r="AG33" s="60">
        <f t="shared" ref="AG33" si="15">AG23-AG31</f>
        <v>38975.886763876886</v>
      </c>
    </row>
  </sheetData>
  <mergeCells count="3">
    <mergeCell ref="B26:B29"/>
    <mergeCell ref="B3:B8"/>
    <mergeCell ref="B14:B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BCA6-9B66-4A1A-910E-51D6628A2425}">
  <dimension ref="A1:AH182"/>
  <sheetViews>
    <sheetView workbookViewId="0"/>
  </sheetViews>
  <sheetFormatPr baseColWidth="10" defaultColWidth="8.83203125" defaultRowHeight="15" x14ac:dyDescent="0.2"/>
  <cols>
    <col min="1" max="1" width="6.5" customWidth="1"/>
    <col min="2" max="2" width="3" customWidth="1"/>
    <col min="3" max="3" width="6.5" customWidth="1"/>
    <col min="4" max="4" width="40" customWidth="1"/>
    <col min="5" max="5" width="8.83203125" customWidth="1"/>
    <col min="6" max="6" width="12.5" customWidth="1"/>
    <col min="7" max="7" width="18" bestFit="1" customWidth="1"/>
    <col min="8" max="8" width="13.33203125" hidden="1" customWidth="1"/>
    <col min="9" max="9" width="13.6640625" customWidth="1"/>
    <col min="10" max="10" width="15.33203125" bestFit="1" customWidth="1"/>
    <col min="11" max="12" width="13.83203125" customWidth="1"/>
    <col min="13" max="13" width="12.83203125" customWidth="1"/>
    <col min="14" max="14" width="13.83203125" customWidth="1"/>
    <col min="15" max="15" width="14.6640625" customWidth="1"/>
    <col min="16" max="33" width="12.83203125" customWidth="1"/>
    <col min="34" max="34" width="12.83203125" style="66" customWidth="1"/>
  </cols>
  <sheetData>
    <row r="1" spans="1:34" x14ac:dyDescent="0.2">
      <c r="A1" s="67" t="s">
        <v>477</v>
      </c>
      <c r="H1">
        <v>-1</v>
      </c>
      <c r="I1">
        <v>0</v>
      </c>
      <c r="J1">
        <f t="shared" ref="J1:AG1" si="0">I1+1</f>
        <v>1</v>
      </c>
      <c r="K1">
        <f t="shared" si="0"/>
        <v>2</v>
      </c>
      <c r="L1">
        <f t="shared" si="0"/>
        <v>3</v>
      </c>
      <c r="M1">
        <f t="shared" si="0"/>
        <v>4</v>
      </c>
      <c r="N1">
        <f t="shared" si="0"/>
        <v>5</v>
      </c>
      <c r="O1">
        <f t="shared" si="0"/>
        <v>6</v>
      </c>
      <c r="P1">
        <f t="shared" si="0"/>
        <v>7</v>
      </c>
      <c r="Q1">
        <f t="shared" si="0"/>
        <v>8</v>
      </c>
      <c r="R1">
        <f t="shared" si="0"/>
        <v>9</v>
      </c>
      <c r="S1">
        <f t="shared" si="0"/>
        <v>10</v>
      </c>
      <c r="T1">
        <f t="shared" si="0"/>
        <v>11</v>
      </c>
      <c r="U1">
        <f t="shared" si="0"/>
        <v>12</v>
      </c>
      <c r="V1">
        <f t="shared" si="0"/>
        <v>13</v>
      </c>
      <c r="W1">
        <f t="shared" si="0"/>
        <v>14</v>
      </c>
      <c r="X1">
        <f t="shared" si="0"/>
        <v>15</v>
      </c>
      <c r="Y1">
        <f t="shared" si="0"/>
        <v>16</v>
      </c>
      <c r="Z1">
        <f t="shared" si="0"/>
        <v>17</v>
      </c>
      <c r="AA1">
        <f t="shared" si="0"/>
        <v>18</v>
      </c>
      <c r="AB1">
        <f t="shared" si="0"/>
        <v>19</v>
      </c>
      <c r="AC1">
        <f t="shared" si="0"/>
        <v>20</v>
      </c>
      <c r="AD1">
        <f t="shared" si="0"/>
        <v>21</v>
      </c>
      <c r="AE1">
        <f t="shared" si="0"/>
        <v>22</v>
      </c>
      <c r="AF1">
        <f t="shared" si="0"/>
        <v>23</v>
      </c>
      <c r="AG1">
        <f t="shared" si="0"/>
        <v>24</v>
      </c>
      <c r="AH1" s="66">
        <f>AG1+1</f>
        <v>25</v>
      </c>
    </row>
    <row r="2" spans="1:34" s="67" customFormat="1" x14ac:dyDescent="0.2">
      <c r="E2" s="67" t="s">
        <v>6</v>
      </c>
      <c r="F2" s="67" t="s">
        <v>7</v>
      </c>
      <c r="H2" s="67">
        <v>2019</v>
      </c>
      <c r="I2" s="67">
        <v>2020</v>
      </c>
      <c r="J2" s="67">
        <f t="shared" ref="J2:AH2" si="1">I2+1</f>
        <v>2021</v>
      </c>
      <c r="K2" s="67">
        <f t="shared" si="1"/>
        <v>2022</v>
      </c>
      <c r="L2" s="67">
        <f t="shared" si="1"/>
        <v>2023</v>
      </c>
      <c r="M2" s="67">
        <f t="shared" si="1"/>
        <v>2024</v>
      </c>
      <c r="N2" s="67">
        <f t="shared" si="1"/>
        <v>2025</v>
      </c>
      <c r="O2" s="67">
        <f t="shared" si="1"/>
        <v>2026</v>
      </c>
      <c r="P2" s="67">
        <f t="shared" si="1"/>
        <v>2027</v>
      </c>
      <c r="Q2" s="67">
        <f t="shared" si="1"/>
        <v>2028</v>
      </c>
      <c r="R2" s="67">
        <f t="shared" si="1"/>
        <v>2029</v>
      </c>
      <c r="S2" s="67">
        <f t="shared" si="1"/>
        <v>2030</v>
      </c>
      <c r="T2" s="67">
        <f t="shared" si="1"/>
        <v>2031</v>
      </c>
      <c r="U2" s="67">
        <f t="shared" si="1"/>
        <v>2032</v>
      </c>
      <c r="V2" s="67">
        <f t="shared" si="1"/>
        <v>2033</v>
      </c>
      <c r="W2" s="67">
        <f t="shared" si="1"/>
        <v>2034</v>
      </c>
      <c r="X2" s="67">
        <f t="shared" si="1"/>
        <v>2035</v>
      </c>
      <c r="Y2" s="67">
        <f t="shared" si="1"/>
        <v>2036</v>
      </c>
      <c r="Z2" s="67">
        <f t="shared" si="1"/>
        <v>2037</v>
      </c>
      <c r="AA2" s="67">
        <f t="shared" si="1"/>
        <v>2038</v>
      </c>
      <c r="AB2" s="67">
        <f t="shared" si="1"/>
        <v>2039</v>
      </c>
      <c r="AC2" s="67">
        <f t="shared" si="1"/>
        <v>2040</v>
      </c>
      <c r="AD2" s="67">
        <f t="shared" si="1"/>
        <v>2041</v>
      </c>
      <c r="AE2" s="67">
        <f t="shared" si="1"/>
        <v>2042</v>
      </c>
      <c r="AF2" s="67">
        <f t="shared" si="1"/>
        <v>2043</v>
      </c>
      <c r="AG2" s="67">
        <f t="shared" si="1"/>
        <v>2044</v>
      </c>
      <c r="AH2" s="67">
        <f t="shared" si="1"/>
        <v>2045</v>
      </c>
    </row>
    <row r="3" spans="1:34" x14ac:dyDescent="0.2">
      <c r="A3" s="1"/>
      <c r="B3" s="1" t="s">
        <v>308</v>
      </c>
    </row>
    <row r="4" spans="1:34" x14ac:dyDescent="0.2">
      <c r="A4" s="1"/>
      <c r="B4" s="1"/>
      <c r="C4" s="1" t="s">
        <v>276</v>
      </c>
      <c r="F4" s="38" t="s">
        <v>260</v>
      </c>
    </row>
    <row r="5" spans="1:34" x14ac:dyDescent="0.2">
      <c r="D5" s="4" t="s">
        <v>283</v>
      </c>
      <c r="E5" s="4" t="s">
        <v>140</v>
      </c>
      <c r="F5" s="4" t="s">
        <v>275</v>
      </c>
      <c r="G5" s="38"/>
      <c r="H5" s="117" t="s">
        <v>499</v>
      </c>
      <c r="I5" s="11">
        <f>18247012.774/653000*1300000</f>
        <v>36326365.399999999</v>
      </c>
      <c r="J5" s="11">
        <f>18247012.774/653000*1300000</f>
        <v>36326365.399999999</v>
      </c>
      <c r="K5" s="12">
        <f t="shared" ref="K5:AH5" si="2">J5</f>
        <v>36326365.399999999</v>
      </c>
      <c r="L5" s="12">
        <f t="shared" si="2"/>
        <v>36326365.399999999</v>
      </c>
      <c r="M5" s="12">
        <f t="shared" si="2"/>
        <v>36326365.399999999</v>
      </c>
      <c r="N5" s="12">
        <f t="shared" si="2"/>
        <v>36326365.399999999</v>
      </c>
      <c r="O5" s="12">
        <f t="shared" si="2"/>
        <v>36326365.399999999</v>
      </c>
      <c r="P5" s="12">
        <f t="shared" si="2"/>
        <v>36326365.399999999</v>
      </c>
      <c r="Q5" s="12">
        <f t="shared" si="2"/>
        <v>36326365.399999999</v>
      </c>
      <c r="R5" s="12">
        <f t="shared" si="2"/>
        <v>36326365.399999999</v>
      </c>
      <c r="S5" s="12">
        <f t="shared" si="2"/>
        <v>36326365.399999999</v>
      </c>
      <c r="T5" s="12">
        <f t="shared" si="2"/>
        <v>36326365.399999999</v>
      </c>
      <c r="U5" s="12">
        <f t="shared" si="2"/>
        <v>36326365.399999999</v>
      </c>
      <c r="V5" s="12">
        <f t="shared" si="2"/>
        <v>36326365.399999999</v>
      </c>
      <c r="W5" s="12">
        <f t="shared" si="2"/>
        <v>36326365.399999999</v>
      </c>
      <c r="X5" s="12">
        <f t="shared" si="2"/>
        <v>36326365.399999999</v>
      </c>
      <c r="Y5" s="12">
        <f t="shared" si="2"/>
        <v>36326365.399999999</v>
      </c>
      <c r="Z5" s="12">
        <f t="shared" si="2"/>
        <v>36326365.399999999</v>
      </c>
      <c r="AA5" s="12">
        <f t="shared" si="2"/>
        <v>36326365.399999999</v>
      </c>
      <c r="AB5" s="12">
        <f t="shared" si="2"/>
        <v>36326365.399999999</v>
      </c>
      <c r="AC5" s="12">
        <f t="shared" si="2"/>
        <v>36326365.399999999</v>
      </c>
      <c r="AD5" s="12">
        <f t="shared" si="2"/>
        <v>36326365.399999999</v>
      </c>
      <c r="AE5" s="12">
        <f t="shared" si="2"/>
        <v>36326365.399999999</v>
      </c>
      <c r="AF5" s="12">
        <f t="shared" si="2"/>
        <v>36326365.399999999</v>
      </c>
      <c r="AG5" s="12">
        <f t="shared" si="2"/>
        <v>36326365.399999999</v>
      </c>
      <c r="AH5" s="12">
        <f t="shared" si="2"/>
        <v>36326365.399999999</v>
      </c>
    </row>
    <row r="6" spans="1:34" x14ac:dyDescent="0.2">
      <c r="D6" s="4" t="s">
        <v>284</v>
      </c>
      <c r="E6" s="4" t="s">
        <v>140</v>
      </c>
      <c r="F6" s="4" t="s">
        <v>275</v>
      </c>
      <c r="G6" s="4"/>
      <c r="H6" s="117"/>
      <c r="I6" s="11">
        <f>13305113.998/653000*1300000</f>
        <v>26487975.800000001</v>
      </c>
      <c r="J6" s="11">
        <f>13305113.998/653000*1300000</f>
        <v>26487975.800000001</v>
      </c>
      <c r="K6" s="12">
        <f t="shared" ref="K6:AH6" si="3">J6</f>
        <v>26487975.800000001</v>
      </c>
      <c r="L6" s="12">
        <f t="shared" si="3"/>
        <v>26487975.800000001</v>
      </c>
      <c r="M6" s="12">
        <f t="shared" si="3"/>
        <v>26487975.800000001</v>
      </c>
      <c r="N6" s="12">
        <f t="shared" si="3"/>
        <v>26487975.800000001</v>
      </c>
      <c r="O6" s="12">
        <f t="shared" si="3"/>
        <v>26487975.800000001</v>
      </c>
      <c r="P6" s="12">
        <f t="shared" si="3"/>
        <v>26487975.800000001</v>
      </c>
      <c r="Q6" s="12">
        <f t="shared" si="3"/>
        <v>26487975.800000001</v>
      </c>
      <c r="R6" s="12">
        <f t="shared" si="3"/>
        <v>26487975.800000001</v>
      </c>
      <c r="S6" s="12">
        <f t="shared" si="3"/>
        <v>26487975.800000001</v>
      </c>
      <c r="T6" s="12">
        <f t="shared" si="3"/>
        <v>26487975.800000001</v>
      </c>
      <c r="U6" s="12">
        <f t="shared" si="3"/>
        <v>26487975.800000001</v>
      </c>
      <c r="V6" s="12">
        <f t="shared" si="3"/>
        <v>26487975.800000001</v>
      </c>
      <c r="W6" s="12">
        <f t="shared" si="3"/>
        <v>26487975.800000001</v>
      </c>
      <c r="X6" s="12">
        <f t="shared" si="3"/>
        <v>26487975.800000001</v>
      </c>
      <c r="Y6" s="12">
        <f t="shared" si="3"/>
        <v>26487975.800000001</v>
      </c>
      <c r="Z6" s="12">
        <f t="shared" si="3"/>
        <v>26487975.800000001</v>
      </c>
      <c r="AA6" s="12">
        <f t="shared" si="3"/>
        <v>26487975.800000001</v>
      </c>
      <c r="AB6" s="12">
        <f t="shared" si="3"/>
        <v>26487975.800000001</v>
      </c>
      <c r="AC6" s="12">
        <f t="shared" si="3"/>
        <v>26487975.800000001</v>
      </c>
      <c r="AD6" s="12">
        <f t="shared" si="3"/>
        <v>26487975.800000001</v>
      </c>
      <c r="AE6" s="12">
        <f t="shared" si="3"/>
        <v>26487975.800000001</v>
      </c>
      <c r="AF6" s="12">
        <f t="shared" si="3"/>
        <v>26487975.800000001</v>
      </c>
      <c r="AG6" s="12">
        <f t="shared" si="3"/>
        <v>26487975.800000001</v>
      </c>
      <c r="AH6" s="12">
        <f t="shared" si="3"/>
        <v>26487975.800000001</v>
      </c>
    </row>
    <row r="7" spans="1:34" x14ac:dyDescent="0.2">
      <c r="D7" s="4" t="s">
        <v>256</v>
      </c>
      <c r="E7" s="4" t="s">
        <v>140</v>
      </c>
      <c r="F7" s="4" t="s">
        <v>275</v>
      </c>
      <c r="G7" s="4"/>
      <c r="H7" s="117"/>
      <c r="I7" s="11">
        <f>6462483.718/653000*1300000</f>
        <v>12865587.800000001</v>
      </c>
      <c r="J7" s="11">
        <f>6462483.718/653000*1300000</f>
        <v>12865587.800000001</v>
      </c>
      <c r="K7" s="12">
        <f t="shared" ref="K7:AH7" si="4">J7</f>
        <v>12865587.800000001</v>
      </c>
      <c r="L7" s="12">
        <f t="shared" si="4"/>
        <v>12865587.800000001</v>
      </c>
      <c r="M7" s="12">
        <f t="shared" si="4"/>
        <v>12865587.800000001</v>
      </c>
      <c r="N7" s="12">
        <f t="shared" si="4"/>
        <v>12865587.800000001</v>
      </c>
      <c r="O7" s="12">
        <f t="shared" si="4"/>
        <v>12865587.800000001</v>
      </c>
      <c r="P7" s="12">
        <f t="shared" si="4"/>
        <v>12865587.800000001</v>
      </c>
      <c r="Q7" s="12">
        <f t="shared" si="4"/>
        <v>12865587.800000001</v>
      </c>
      <c r="R7" s="12">
        <f t="shared" si="4"/>
        <v>12865587.800000001</v>
      </c>
      <c r="S7" s="12">
        <f t="shared" si="4"/>
        <v>12865587.800000001</v>
      </c>
      <c r="T7" s="12">
        <f t="shared" si="4"/>
        <v>12865587.800000001</v>
      </c>
      <c r="U7" s="12">
        <f t="shared" si="4"/>
        <v>12865587.800000001</v>
      </c>
      <c r="V7" s="12">
        <f t="shared" si="4"/>
        <v>12865587.800000001</v>
      </c>
      <c r="W7" s="12">
        <f t="shared" si="4"/>
        <v>12865587.800000001</v>
      </c>
      <c r="X7" s="12">
        <f t="shared" si="4"/>
        <v>12865587.800000001</v>
      </c>
      <c r="Y7" s="12">
        <f t="shared" si="4"/>
        <v>12865587.800000001</v>
      </c>
      <c r="Z7" s="12">
        <f t="shared" si="4"/>
        <v>12865587.800000001</v>
      </c>
      <c r="AA7" s="12">
        <f t="shared" si="4"/>
        <v>12865587.800000001</v>
      </c>
      <c r="AB7" s="12">
        <f t="shared" si="4"/>
        <v>12865587.800000001</v>
      </c>
      <c r="AC7" s="12">
        <f t="shared" si="4"/>
        <v>12865587.800000001</v>
      </c>
      <c r="AD7" s="12">
        <f t="shared" si="4"/>
        <v>12865587.800000001</v>
      </c>
      <c r="AE7" s="12">
        <f t="shared" si="4"/>
        <v>12865587.800000001</v>
      </c>
      <c r="AF7" s="12">
        <f t="shared" si="4"/>
        <v>12865587.800000001</v>
      </c>
      <c r="AG7" s="12">
        <f t="shared" si="4"/>
        <v>12865587.800000001</v>
      </c>
      <c r="AH7" s="12">
        <f t="shared" si="4"/>
        <v>12865587.800000001</v>
      </c>
    </row>
    <row r="8" spans="1:34" x14ac:dyDescent="0.2">
      <c r="D8" s="4" t="s">
        <v>285</v>
      </c>
      <c r="E8" s="4" t="s">
        <v>140</v>
      </c>
      <c r="F8" s="4" t="s">
        <v>275</v>
      </c>
      <c r="G8" s="4"/>
      <c r="H8" s="117"/>
      <c r="I8" s="11">
        <f>10666156.852/653000*1300000</f>
        <v>21234309.199999999</v>
      </c>
      <c r="J8" s="11">
        <f>10666156.852/653000*1300000</f>
        <v>21234309.199999999</v>
      </c>
      <c r="K8" s="12">
        <f t="shared" ref="K8:AH8" si="5">J8</f>
        <v>21234309.199999999</v>
      </c>
      <c r="L8" s="12">
        <f t="shared" si="5"/>
        <v>21234309.199999999</v>
      </c>
      <c r="M8" s="12">
        <f t="shared" si="5"/>
        <v>21234309.199999999</v>
      </c>
      <c r="N8" s="12">
        <f t="shared" si="5"/>
        <v>21234309.199999999</v>
      </c>
      <c r="O8" s="12">
        <f t="shared" si="5"/>
        <v>21234309.199999999</v>
      </c>
      <c r="P8" s="12">
        <f t="shared" si="5"/>
        <v>21234309.199999999</v>
      </c>
      <c r="Q8" s="12">
        <f t="shared" si="5"/>
        <v>21234309.199999999</v>
      </c>
      <c r="R8" s="12">
        <f t="shared" si="5"/>
        <v>21234309.199999999</v>
      </c>
      <c r="S8" s="12">
        <f t="shared" si="5"/>
        <v>21234309.199999999</v>
      </c>
      <c r="T8" s="12">
        <f t="shared" si="5"/>
        <v>21234309.199999999</v>
      </c>
      <c r="U8" s="12">
        <f t="shared" si="5"/>
        <v>21234309.199999999</v>
      </c>
      <c r="V8" s="12">
        <f t="shared" si="5"/>
        <v>21234309.199999999</v>
      </c>
      <c r="W8" s="12">
        <f t="shared" si="5"/>
        <v>21234309.199999999</v>
      </c>
      <c r="X8" s="12">
        <f t="shared" si="5"/>
        <v>21234309.199999999</v>
      </c>
      <c r="Y8" s="12">
        <f t="shared" si="5"/>
        <v>21234309.199999999</v>
      </c>
      <c r="Z8" s="12">
        <f t="shared" si="5"/>
        <v>21234309.199999999</v>
      </c>
      <c r="AA8" s="12">
        <f t="shared" si="5"/>
        <v>21234309.199999999</v>
      </c>
      <c r="AB8" s="12">
        <f t="shared" si="5"/>
        <v>21234309.199999999</v>
      </c>
      <c r="AC8" s="12">
        <f t="shared" si="5"/>
        <v>21234309.199999999</v>
      </c>
      <c r="AD8" s="12">
        <f t="shared" si="5"/>
        <v>21234309.199999999</v>
      </c>
      <c r="AE8" s="12">
        <f t="shared" si="5"/>
        <v>21234309.199999999</v>
      </c>
      <c r="AF8" s="12">
        <f t="shared" si="5"/>
        <v>21234309.199999999</v>
      </c>
      <c r="AG8" s="12">
        <f t="shared" si="5"/>
        <v>21234309.199999999</v>
      </c>
      <c r="AH8" s="12">
        <f t="shared" si="5"/>
        <v>21234309.199999999</v>
      </c>
    </row>
    <row r="9" spans="1:34" x14ac:dyDescent="0.2">
      <c r="D9" s="4" t="s">
        <v>286</v>
      </c>
      <c r="E9" s="4" t="s">
        <v>140</v>
      </c>
      <c r="F9" s="4" t="s">
        <v>275</v>
      </c>
      <c r="G9" s="4"/>
      <c r="H9" s="117"/>
      <c r="I9" s="11">
        <f>7777405.657/653000*1300000</f>
        <v>15483349.699999999</v>
      </c>
      <c r="J9" s="11">
        <f>7777405.657/653000*1300000</f>
        <v>15483349.699999999</v>
      </c>
      <c r="K9" s="12">
        <f t="shared" ref="K9:AH9" si="6">J9</f>
        <v>15483349.699999999</v>
      </c>
      <c r="L9" s="12">
        <f t="shared" si="6"/>
        <v>15483349.699999999</v>
      </c>
      <c r="M9" s="12">
        <f t="shared" si="6"/>
        <v>15483349.699999999</v>
      </c>
      <c r="N9" s="12">
        <f t="shared" si="6"/>
        <v>15483349.699999999</v>
      </c>
      <c r="O9" s="12">
        <f t="shared" si="6"/>
        <v>15483349.699999999</v>
      </c>
      <c r="P9" s="12">
        <f t="shared" si="6"/>
        <v>15483349.699999999</v>
      </c>
      <c r="Q9" s="12">
        <f t="shared" si="6"/>
        <v>15483349.699999999</v>
      </c>
      <c r="R9" s="12">
        <f t="shared" si="6"/>
        <v>15483349.699999999</v>
      </c>
      <c r="S9" s="12">
        <f t="shared" si="6"/>
        <v>15483349.699999999</v>
      </c>
      <c r="T9" s="12">
        <f t="shared" si="6"/>
        <v>15483349.699999999</v>
      </c>
      <c r="U9" s="12">
        <f t="shared" si="6"/>
        <v>15483349.699999999</v>
      </c>
      <c r="V9" s="12">
        <f t="shared" si="6"/>
        <v>15483349.699999999</v>
      </c>
      <c r="W9" s="12">
        <f t="shared" si="6"/>
        <v>15483349.699999999</v>
      </c>
      <c r="X9" s="12">
        <f t="shared" si="6"/>
        <v>15483349.699999999</v>
      </c>
      <c r="Y9" s="12">
        <f t="shared" si="6"/>
        <v>15483349.699999999</v>
      </c>
      <c r="Z9" s="12">
        <f t="shared" si="6"/>
        <v>15483349.699999999</v>
      </c>
      <c r="AA9" s="12">
        <f t="shared" si="6"/>
        <v>15483349.699999999</v>
      </c>
      <c r="AB9" s="12">
        <f t="shared" si="6"/>
        <v>15483349.699999999</v>
      </c>
      <c r="AC9" s="12">
        <f t="shared" si="6"/>
        <v>15483349.699999999</v>
      </c>
      <c r="AD9" s="12">
        <f t="shared" si="6"/>
        <v>15483349.699999999</v>
      </c>
      <c r="AE9" s="12">
        <f t="shared" si="6"/>
        <v>15483349.699999999</v>
      </c>
      <c r="AF9" s="12">
        <f t="shared" si="6"/>
        <v>15483349.699999999</v>
      </c>
      <c r="AG9" s="12">
        <f t="shared" si="6"/>
        <v>15483349.699999999</v>
      </c>
      <c r="AH9" s="12">
        <f t="shared" si="6"/>
        <v>15483349.699999999</v>
      </c>
    </row>
    <row r="10" spans="1:34" x14ac:dyDescent="0.2">
      <c r="D10" s="4" t="s">
        <v>259</v>
      </c>
      <c r="E10" s="4" t="s">
        <v>140</v>
      </c>
      <c r="F10" s="4" t="s">
        <v>275</v>
      </c>
      <c r="G10" s="4"/>
      <c r="H10" s="117"/>
      <c r="I10" s="11">
        <f>3777597.164/653000*1300000</f>
        <v>7520484.4000000004</v>
      </c>
      <c r="J10" s="11">
        <f>3777597.164/653000*1300000</f>
        <v>7520484.4000000004</v>
      </c>
      <c r="K10" s="12">
        <f t="shared" ref="K10:AH10" si="7">J10</f>
        <v>7520484.4000000004</v>
      </c>
      <c r="L10" s="12">
        <f t="shared" si="7"/>
        <v>7520484.4000000004</v>
      </c>
      <c r="M10" s="12">
        <f t="shared" si="7"/>
        <v>7520484.4000000004</v>
      </c>
      <c r="N10" s="12">
        <f t="shared" si="7"/>
        <v>7520484.4000000004</v>
      </c>
      <c r="O10" s="12">
        <f t="shared" si="7"/>
        <v>7520484.4000000004</v>
      </c>
      <c r="P10" s="12">
        <f t="shared" si="7"/>
        <v>7520484.4000000004</v>
      </c>
      <c r="Q10" s="12">
        <f t="shared" si="7"/>
        <v>7520484.4000000004</v>
      </c>
      <c r="R10" s="12">
        <f t="shared" si="7"/>
        <v>7520484.4000000004</v>
      </c>
      <c r="S10" s="12">
        <f t="shared" si="7"/>
        <v>7520484.4000000004</v>
      </c>
      <c r="T10" s="12">
        <f t="shared" si="7"/>
        <v>7520484.4000000004</v>
      </c>
      <c r="U10" s="12">
        <f t="shared" si="7"/>
        <v>7520484.4000000004</v>
      </c>
      <c r="V10" s="12">
        <f t="shared" si="7"/>
        <v>7520484.4000000004</v>
      </c>
      <c r="W10" s="12">
        <f t="shared" si="7"/>
        <v>7520484.4000000004</v>
      </c>
      <c r="X10" s="12">
        <f t="shared" si="7"/>
        <v>7520484.4000000004</v>
      </c>
      <c r="Y10" s="12">
        <f t="shared" si="7"/>
        <v>7520484.4000000004</v>
      </c>
      <c r="Z10" s="12">
        <f t="shared" si="7"/>
        <v>7520484.4000000004</v>
      </c>
      <c r="AA10" s="12">
        <f t="shared" si="7"/>
        <v>7520484.4000000004</v>
      </c>
      <c r="AB10" s="12">
        <f t="shared" si="7"/>
        <v>7520484.4000000004</v>
      </c>
      <c r="AC10" s="12">
        <f t="shared" si="7"/>
        <v>7520484.4000000004</v>
      </c>
      <c r="AD10" s="12">
        <f t="shared" si="7"/>
        <v>7520484.4000000004</v>
      </c>
      <c r="AE10" s="12">
        <f t="shared" si="7"/>
        <v>7520484.4000000004</v>
      </c>
      <c r="AF10" s="12">
        <f t="shared" si="7"/>
        <v>7520484.4000000004</v>
      </c>
      <c r="AG10" s="12">
        <f t="shared" si="7"/>
        <v>7520484.4000000004</v>
      </c>
      <c r="AH10" s="12">
        <f t="shared" si="7"/>
        <v>7520484.4000000004</v>
      </c>
    </row>
    <row r="12" spans="1:34" x14ac:dyDescent="0.2">
      <c r="C12" s="1" t="s">
        <v>277</v>
      </c>
    </row>
    <row r="13" spans="1:34" x14ac:dyDescent="0.2">
      <c r="D13" s="4" t="s">
        <v>254</v>
      </c>
      <c r="E13" s="4" t="s">
        <v>140</v>
      </c>
      <c r="I13" s="12">
        <f>I5*'1_MODEL_assumptions'!I$9/'1_MODEL_assumptions'!$G$5</f>
        <v>578539.284032</v>
      </c>
      <c r="J13" s="12">
        <f>J5*'1_MODEL_assumptions'!J$9/'1_MODEL_assumptions'!$G$5</f>
        <v>849729.57342199993</v>
      </c>
      <c r="K13" s="12">
        <f>K5*'1_MODEL_assumptions'!K$9/'1_MODEL_assumptions'!$G$5</f>
        <v>896735.89024959994</v>
      </c>
      <c r="L13" s="12">
        <f>L5*'1_MODEL_assumptions'!L$9/'1_MODEL_assumptions'!$G$5</f>
        <v>1113688.1217616</v>
      </c>
      <c r="M13" s="12">
        <f>M5*'1_MODEL_assumptions'!M$9/'1_MODEL_assumptions'!$G$5</f>
        <v>1663300.441592</v>
      </c>
      <c r="N13" s="12">
        <f>N5*'1_MODEL_assumptions'!N$9/'1_MODEL_assumptions'!$G$5</f>
        <v>1934490.730982</v>
      </c>
      <c r="O13" s="12">
        <f>O5*'1_MODEL_assumptions'!O$9/'1_MODEL_assumptions'!$G$5</f>
        <v>2205681.0203720001</v>
      </c>
      <c r="P13" s="12">
        <f>P5*'1_MODEL_assumptions'!P$9/'1_MODEL_assumptions'!$G$5</f>
        <v>2476871.3097620001</v>
      </c>
      <c r="Q13" s="12">
        <f>Q5*'1_MODEL_assumptions'!Q$9/'1_MODEL_assumptions'!$G$5</f>
        <v>2748061.5991520006</v>
      </c>
      <c r="R13" s="12">
        <f>R5*'1_MODEL_assumptions'!R$9/'1_MODEL_assumptions'!$G$5</f>
        <v>3019251.8885420007</v>
      </c>
      <c r="S13" s="12">
        <f>S5*'1_MODEL_assumptions'!S$9/'1_MODEL_assumptions'!$G$5</f>
        <v>3290442.1779320007</v>
      </c>
      <c r="T13" s="12">
        <f>T5*'1_MODEL_assumptions'!T$9/'1_MODEL_assumptions'!$G$5</f>
        <v>3561632.4673220012</v>
      </c>
      <c r="U13" s="12">
        <f>U5*'1_MODEL_assumptions'!U$9/'1_MODEL_assumptions'!$G$5</f>
        <v>3832822.7567120013</v>
      </c>
      <c r="V13" s="12">
        <f>V5*'1_MODEL_assumptions'!V$9/'1_MODEL_assumptions'!$G$5</f>
        <v>4104013.0461020013</v>
      </c>
      <c r="W13" s="12">
        <f>W5*'1_MODEL_assumptions'!W$9/'1_MODEL_assumptions'!$G$5</f>
        <v>4375203.3354920009</v>
      </c>
      <c r="X13" s="12">
        <f>X5*'1_MODEL_assumptions'!X$9/'1_MODEL_assumptions'!$G$5</f>
        <v>4646393.6248820024</v>
      </c>
      <c r="Y13" s="12">
        <f>Y5*'1_MODEL_assumptions'!Y$9/'1_MODEL_assumptions'!$G$5</f>
        <v>4917583.9142720019</v>
      </c>
      <c r="Z13" s="12">
        <f>Z5*'1_MODEL_assumptions'!Z$9/'1_MODEL_assumptions'!$G$5</f>
        <v>5188774.2036620015</v>
      </c>
      <c r="AA13" s="12">
        <f>AA5*'1_MODEL_assumptions'!AA$9/'1_MODEL_assumptions'!$G$5</f>
        <v>5459964.493052002</v>
      </c>
      <c r="AB13" s="12">
        <f>AB5*'1_MODEL_assumptions'!AB$9/'1_MODEL_assumptions'!$G$5</f>
        <v>5731154.7824420026</v>
      </c>
      <c r="AC13" s="12">
        <f>AC5*'1_MODEL_assumptions'!AC$9/'1_MODEL_assumptions'!$G$5</f>
        <v>6002345.0718320031</v>
      </c>
      <c r="AD13" s="12">
        <f>AD5*'1_MODEL_assumptions'!AD$9/'1_MODEL_assumptions'!$G$5</f>
        <v>6273535.3612220027</v>
      </c>
      <c r="AE13" s="12">
        <f>AE5*'1_MODEL_assumptions'!AE$9/'1_MODEL_assumptions'!$G$5</f>
        <v>6544725.6506120032</v>
      </c>
      <c r="AF13" s="12">
        <f>AF5*'1_MODEL_assumptions'!AF$9/'1_MODEL_assumptions'!$G$5</f>
        <v>6815915.9400020046</v>
      </c>
      <c r="AG13" s="12">
        <f>AG5*'1_MODEL_assumptions'!AG$9/'1_MODEL_assumptions'!$G$5</f>
        <v>7087106.2293920042</v>
      </c>
      <c r="AH13" s="12">
        <f>AH5*'1_MODEL_assumptions'!AH$9/'1_MODEL_assumptions'!$G$5</f>
        <v>7358296.5187820038</v>
      </c>
    </row>
    <row r="14" spans="1:34" x14ac:dyDescent="0.2">
      <c r="D14" s="4" t="s">
        <v>255</v>
      </c>
      <c r="E14" s="4" t="s">
        <v>140</v>
      </c>
      <c r="I14" s="12">
        <f>I6*'1_MODEL_assumptions'!I$9/'1_MODEL_assumptions'!$G$5</f>
        <v>421851.57766399998</v>
      </c>
      <c r="J14" s="12">
        <f>J6*'1_MODEL_assumptions'!J$9/'1_MODEL_assumptions'!$G$5</f>
        <v>619594.504694</v>
      </c>
      <c r="K14" s="12">
        <f>K6*'1_MODEL_assumptions'!K$9/'1_MODEL_assumptions'!$G$5</f>
        <v>653869.94537920004</v>
      </c>
      <c r="L14" s="12">
        <f>L6*'1_MODEL_assumptions'!L$9/'1_MODEL_assumptions'!$G$5</f>
        <v>812064.28700320015</v>
      </c>
      <c r="M14" s="12">
        <f>M6*'1_MODEL_assumptions'!M$9/'1_MODEL_assumptions'!$G$5</f>
        <v>1212823.2857840001</v>
      </c>
      <c r="N14" s="12">
        <f>N6*'1_MODEL_assumptions'!N$9/'1_MODEL_assumptions'!$G$5</f>
        <v>1410566.212814</v>
      </c>
      <c r="O14" s="12">
        <f>O6*'1_MODEL_assumptions'!O$9/'1_MODEL_assumptions'!$G$5</f>
        <v>1608309.1398439999</v>
      </c>
      <c r="P14" s="12">
        <f>P6*'1_MODEL_assumptions'!P$9/'1_MODEL_assumptions'!$G$5</f>
        <v>1806052.0668740002</v>
      </c>
      <c r="Q14" s="12">
        <f>Q6*'1_MODEL_assumptions'!Q$9/'1_MODEL_assumptions'!$G$5</f>
        <v>2003794.9939040006</v>
      </c>
      <c r="R14" s="12">
        <f>R6*'1_MODEL_assumptions'!R$9/'1_MODEL_assumptions'!$G$5</f>
        <v>2201537.9209340005</v>
      </c>
      <c r="S14" s="12">
        <f>S6*'1_MODEL_assumptions'!S$9/'1_MODEL_assumptions'!$G$5</f>
        <v>2399280.8479640004</v>
      </c>
      <c r="T14" s="12">
        <f>T6*'1_MODEL_assumptions'!T$9/'1_MODEL_assumptions'!$G$5</f>
        <v>2597023.7749940008</v>
      </c>
      <c r="U14" s="12">
        <f>U6*'1_MODEL_assumptions'!U$9/'1_MODEL_assumptions'!$G$5</f>
        <v>2794766.7020240012</v>
      </c>
      <c r="V14" s="12">
        <f>V6*'1_MODEL_assumptions'!V$9/'1_MODEL_assumptions'!$G$5</f>
        <v>2992509.6290540011</v>
      </c>
      <c r="W14" s="12">
        <f>W6*'1_MODEL_assumptions'!W$9/'1_MODEL_assumptions'!$G$5</f>
        <v>3190252.5560840014</v>
      </c>
      <c r="X14" s="12">
        <f>X6*'1_MODEL_assumptions'!X$9/'1_MODEL_assumptions'!$G$5</f>
        <v>3387995.4831140018</v>
      </c>
      <c r="Y14" s="12">
        <f>Y6*'1_MODEL_assumptions'!Y$9/'1_MODEL_assumptions'!$G$5</f>
        <v>3585738.4101440017</v>
      </c>
      <c r="Z14" s="12">
        <f>Z6*'1_MODEL_assumptions'!Z$9/'1_MODEL_assumptions'!$G$5</f>
        <v>3783481.3371740016</v>
      </c>
      <c r="AA14" s="12">
        <f>AA6*'1_MODEL_assumptions'!AA$9/'1_MODEL_assumptions'!$G$5</f>
        <v>3981224.2642040015</v>
      </c>
      <c r="AB14" s="12">
        <f>AB6*'1_MODEL_assumptions'!AB$9/'1_MODEL_assumptions'!$G$5</f>
        <v>4178967.1912340024</v>
      </c>
      <c r="AC14" s="12">
        <f>AC6*'1_MODEL_assumptions'!AC$9/'1_MODEL_assumptions'!$G$5</f>
        <v>4376710.1182640027</v>
      </c>
      <c r="AD14" s="12">
        <f>AD6*'1_MODEL_assumptions'!AD$9/'1_MODEL_assumptions'!$G$5</f>
        <v>4574453.0452940026</v>
      </c>
      <c r="AE14" s="12">
        <f>AE6*'1_MODEL_assumptions'!AE$9/'1_MODEL_assumptions'!$G$5</f>
        <v>4772195.9723240035</v>
      </c>
      <c r="AF14" s="12">
        <f>AF6*'1_MODEL_assumptions'!AF$9/'1_MODEL_assumptions'!$G$5</f>
        <v>4969938.8993540034</v>
      </c>
      <c r="AG14" s="12">
        <f>AG6*'1_MODEL_assumptions'!AG$9/'1_MODEL_assumptions'!$G$5</f>
        <v>5167681.8263840033</v>
      </c>
      <c r="AH14" s="12">
        <f>AH6*'1_MODEL_assumptions'!AH$9/'1_MODEL_assumptions'!$G$5</f>
        <v>5365424.7534140041</v>
      </c>
    </row>
    <row r="15" spans="1:34" x14ac:dyDescent="0.2">
      <c r="D15" s="4" t="s">
        <v>256</v>
      </c>
      <c r="E15" s="4" t="s">
        <v>140</v>
      </c>
      <c r="I15" s="12">
        <f>I7*'1_MODEL_assumptions'!I$9/'1_MODEL_assumptions'!$G$5</f>
        <v>204899.33062400002</v>
      </c>
      <c r="J15" s="12">
        <f>J7*'1_MODEL_assumptions'!J$9/'1_MODEL_assumptions'!$G$5</f>
        <v>300945.89185399999</v>
      </c>
      <c r="K15" s="12">
        <f>K7*'1_MODEL_assumptions'!K$9/'1_MODEL_assumptions'!$G$5</f>
        <v>317593.96246720006</v>
      </c>
      <c r="L15" s="12">
        <f>L7*'1_MODEL_assumptions'!L$9/'1_MODEL_assumptions'!$G$5</f>
        <v>394431.21145120007</v>
      </c>
      <c r="M15" s="12">
        <f>M7*'1_MODEL_assumptions'!M$9/'1_MODEL_assumptions'!$G$5</f>
        <v>589085.57554400002</v>
      </c>
      <c r="N15" s="12">
        <f>N7*'1_MODEL_assumptions'!N$9/'1_MODEL_assumptions'!$G$5</f>
        <v>685132.13677400001</v>
      </c>
      <c r="O15" s="12">
        <f>O7*'1_MODEL_assumptions'!O$9/'1_MODEL_assumptions'!$G$5</f>
        <v>781178.69800400001</v>
      </c>
      <c r="P15" s="12">
        <f>P7*'1_MODEL_assumptions'!P$9/'1_MODEL_assumptions'!$G$5</f>
        <v>877225.259234</v>
      </c>
      <c r="Q15" s="12">
        <f>Q7*'1_MODEL_assumptions'!Q$9/'1_MODEL_assumptions'!$G$5</f>
        <v>973271.82046400011</v>
      </c>
      <c r="R15" s="12">
        <f>R7*'1_MODEL_assumptions'!R$9/'1_MODEL_assumptions'!$G$5</f>
        <v>1069318.3816940004</v>
      </c>
      <c r="S15" s="12">
        <f>S7*'1_MODEL_assumptions'!S$9/'1_MODEL_assumptions'!$G$5</f>
        <v>1165364.9429240003</v>
      </c>
      <c r="T15" s="12">
        <f>T7*'1_MODEL_assumptions'!T$9/'1_MODEL_assumptions'!$G$5</f>
        <v>1261411.5041540004</v>
      </c>
      <c r="U15" s="12">
        <f>U7*'1_MODEL_assumptions'!U$9/'1_MODEL_assumptions'!$G$5</f>
        <v>1357458.0653840008</v>
      </c>
      <c r="V15" s="12">
        <f>V7*'1_MODEL_assumptions'!V$9/'1_MODEL_assumptions'!$G$5</f>
        <v>1453504.6266140006</v>
      </c>
      <c r="W15" s="12">
        <f>W7*'1_MODEL_assumptions'!W$9/'1_MODEL_assumptions'!$G$5</f>
        <v>1549551.1878440008</v>
      </c>
      <c r="X15" s="12">
        <f>X7*'1_MODEL_assumptions'!X$9/'1_MODEL_assumptions'!$G$5</f>
        <v>1645597.7490740009</v>
      </c>
      <c r="Y15" s="12">
        <f>Y7*'1_MODEL_assumptions'!Y$9/'1_MODEL_assumptions'!$G$5</f>
        <v>1741644.310304001</v>
      </c>
      <c r="Z15" s="12">
        <f>Z7*'1_MODEL_assumptions'!Z$9/'1_MODEL_assumptions'!$G$5</f>
        <v>1837690.8715340008</v>
      </c>
      <c r="AA15" s="12">
        <f>AA7*'1_MODEL_assumptions'!AA$9/'1_MODEL_assumptions'!$G$5</f>
        <v>1933737.432764001</v>
      </c>
      <c r="AB15" s="12">
        <f>AB7*'1_MODEL_assumptions'!AB$9/'1_MODEL_assumptions'!$G$5</f>
        <v>2029783.9939940013</v>
      </c>
      <c r="AC15" s="12">
        <f>AC7*'1_MODEL_assumptions'!AC$9/'1_MODEL_assumptions'!$G$5</f>
        <v>2125830.5552240014</v>
      </c>
      <c r="AD15" s="12">
        <f>AD7*'1_MODEL_assumptions'!AD$9/'1_MODEL_assumptions'!$G$5</f>
        <v>2221877.1164540011</v>
      </c>
      <c r="AE15" s="12">
        <f>AE7*'1_MODEL_assumptions'!AE$9/'1_MODEL_assumptions'!$G$5</f>
        <v>2317923.6776840016</v>
      </c>
      <c r="AF15" s="12">
        <f>AF7*'1_MODEL_assumptions'!AF$9/'1_MODEL_assumptions'!$G$5</f>
        <v>2413970.2389140017</v>
      </c>
      <c r="AG15" s="12">
        <f>AG7*'1_MODEL_assumptions'!AG$9/'1_MODEL_assumptions'!$G$5</f>
        <v>2510016.8001440018</v>
      </c>
      <c r="AH15" s="12">
        <f>AH7*'1_MODEL_assumptions'!AH$9/'1_MODEL_assumptions'!$G$5</f>
        <v>2606063.361374002</v>
      </c>
    </row>
    <row r="16" spans="1:34" x14ac:dyDescent="0.2">
      <c r="D16" s="4" t="s">
        <v>257</v>
      </c>
      <c r="E16" s="4" t="s">
        <v>140</v>
      </c>
      <c r="I16" s="12">
        <f>I8*'1_MODEL_assumptions'!I$9/'1_MODEL_assumptions'!$G$5</f>
        <v>338180.87513599999</v>
      </c>
      <c r="J16" s="12">
        <f>J8*'1_MODEL_assumptions'!J$9/'1_MODEL_assumptions'!$G$5</f>
        <v>496703.16035599995</v>
      </c>
      <c r="K16" s="12">
        <f>K8*'1_MODEL_assumptions'!K$9/'1_MODEL_assumptions'!$G$5</f>
        <v>524180.35646080005</v>
      </c>
      <c r="L16" s="12">
        <f>L8*'1_MODEL_assumptions'!L$9/'1_MODEL_assumptions'!$G$5</f>
        <v>650998.18463680008</v>
      </c>
      <c r="M16" s="12">
        <f>M8*'1_MODEL_assumptions'!M$9/'1_MODEL_assumptions'!$G$5</f>
        <v>972270.01601600007</v>
      </c>
      <c r="N16" s="12">
        <f>N8*'1_MODEL_assumptions'!N$9/'1_MODEL_assumptions'!$G$5</f>
        <v>1130792.3012360001</v>
      </c>
      <c r="O16" s="12">
        <f>O8*'1_MODEL_assumptions'!O$9/'1_MODEL_assumptions'!$G$5</f>
        <v>1289314.5864560001</v>
      </c>
      <c r="P16" s="12">
        <f>P8*'1_MODEL_assumptions'!P$9/'1_MODEL_assumptions'!$G$5</f>
        <v>1447836.8716760001</v>
      </c>
      <c r="Q16" s="12">
        <f>Q8*'1_MODEL_assumptions'!Q$9/'1_MODEL_assumptions'!$G$5</f>
        <v>1606359.1568960003</v>
      </c>
      <c r="R16" s="12">
        <f>R8*'1_MODEL_assumptions'!R$9/'1_MODEL_assumptions'!$G$5</f>
        <v>1764881.4421160007</v>
      </c>
      <c r="S16" s="12">
        <f>S8*'1_MODEL_assumptions'!S$9/'1_MODEL_assumptions'!$G$5</f>
        <v>1923403.7273360002</v>
      </c>
      <c r="T16" s="12">
        <f>T8*'1_MODEL_assumptions'!T$9/'1_MODEL_assumptions'!$G$5</f>
        <v>2081926.0125560006</v>
      </c>
      <c r="U16" s="12">
        <f>U8*'1_MODEL_assumptions'!U$9/'1_MODEL_assumptions'!$G$5</f>
        <v>2240448.297776001</v>
      </c>
      <c r="V16" s="12">
        <f>V8*'1_MODEL_assumptions'!V$9/'1_MODEL_assumptions'!$G$5</f>
        <v>2398970.582996001</v>
      </c>
      <c r="W16" s="12">
        <f>W8*'1_MODEL_assumptions'!W$9/'1_MODEL_assumptions'!$G$5</f>
        <v>2557492.868216001</v>
      </c>
      <c r="X16" s="12">
        <f>X8*'1_MODEL_assumptions'!X$9/'1_MODEL_assumptions'!$G$5</f>
        <v>2716015.1534360014</v>
      </c>
      <c r="Y16" s="12">
        <f>Y8*'1_MODEL_assumptions'!Y$9/'1_MODEL_assumptions'!$G$5</f>
        <v>2874537.4386560014</v>
      </c>
      <c r="Z16" s="12">
        <f>Z8*'1_MODEL_assumptions'!Z$9/'1_MODEL_assumptions'!$G$5</f>
        <v>3033059.7238760013</v>
      </c>
      <c r="AA16" s="12">
        <f>AA8*'1_MODEL_assumptions'!AA$9/'1_MODEL_assumptions'!$G$5</f>
        <v>3191582.0090960013</v>
      </c>
      <c r="AB16" s="12">
        <f>AB8*'1_MODEL_assumptions'!AB$9/'1_MODEL_assumptions'!$G$5</f>
        <v>3350104.2943160017</v>
      </c>
      <c r="AC16" s="12">
        <f>AC8*'1_MODEL_assumptions'!AC$9/'1_MODEL_assumptions'!$G$5</f>
        <v>3508626.5795360021</v>
      </c>
      <c r="AD16" s="12">
        <f>AD8*'1_MODEL_assumptions'!AD$9/'1_MODEL_assumptions'!$G$5</f>
        <v>3667148.8647560021</v>
      </c>
      <c r="AE16" s="12">
        <f>AE8*'1_MODEL_assumptions'!AE$9/'1_MODEL_assumptions'!$G$5</f>
        <v>3825671.1499760021</v>
      </c>
      <c r="AF16" s="12">
        <f>AF8*'1_MODEL_assumptions'!AF$9/'1_MODEL_assumptions'!$G$5</f>
        <v>3984193.435196002</v>
      </c>
      <c r="AG16" s="12">
        <f>AG8*'1_MODEL_assumptions'!AG$9/'1_MODEL_assumptions'!$G$5</f>
        <v>4142715.720416002</v>
      </c>
      <c r="AH16" s="12">
        <f>AH8*'1_MODEL_assumptions'!AH$9/'1_MODEL_assumptions'!$G$5</f>
        <v>4301238.0056360029</v>
      </c>
    </row>
    <row r="17" spans="2:34" x14ac:dyDescent="0.2">
      <c r="D17" s="4" t="s">
        <v>258</v>
      </c>
      <c r="E17" s="4" t="s">
        <v>140</v>
      </c>
      <c r="I17" s="12">
        <f>I9*'1_MODEL_assumptions'!I$9/'1_MODEL_assumptions'!$G$5</f>
        <v>246590.20937599998</v>
      </c>
      <c r="J17" s="12">
        <f>J9*'1_MODEL_assumptions'!J$9/'1_MODEL_assumptions'!$G$5</f>
        <v>362179.37002099998</v>
      </c>
      <c r="K17" s="12">
        <f>K9*'1_MODEL_assumptions'!K$9/'1_MODEL_assumptions'!$G$5</f>
        <v>382214.8245328</v>
      </c>
      <c r="L17" s="12">
        <f>L9*'1_MODEL_assumptions'!L$9/'1_MODEL_assumptions'!$G$5</f>
        <v>474686.15304880007</v>
      </c>
      <c r="M17" s="12">
        <f>M9*'1_MODEL_assumptions'!M$9/'1_MODEL_assumptions'!$G$5</f>
        <v>708946.85195599997</v>
      </c>
      <c r="N17" s="12">
        <f>N9*'1_MODEL_assumptions'!N$9/'1_MODEL_assumptions'!$G$5</f>
        <v>824536.01260099991</v>
      </c>
      <c r="O17" s="12">
        <f>O9*'1_MODEL_assumptions'!O$9/'1_MODEL_assumptions'!$G$5</f>
        <v>940125.17324600008</v>
      </c>
      <c r="P17" s="12">
        <f>P9*'1_MODEL_assumptions'!P$9/'1_MODEL_assumptions'!$G$5</f>
        <v>1055714.3338910001</v>
      </c>
      <c r="Q17" s="12">
        <f>Q9*'1_MODEL_assumptions'!Q$9/'1_MODEL_assumptions'!$G$5</f>
        <v>1171303.4945360001</v>
      </c>
      <c r="R17" s="12">
        <f>R9*'1_MODEL_assumptions'!R$9/'1_MODEL_assumptions'!$G$5</f>
        <v>1286892.6551810002</v>
      </c>
      <c r="S17" s="12">
        <f>S9*'1_MODEL_assumptions'!S$9/'1_MODEL_assumptions'!$G$5</f>
        <v>1402481.8158260002</v>
      </c>
      <c r="T17" s="12">
        <f>T9*'1_MODEL_assumptions'!T$9/'1_MODEL_assumptions'!$G$5</f>
        <v>1518070.9764710004</v>
      </c>
      <c r="U17" s="12">
        <f>U9*'1_MODEL_assumptions'!U$9/'1_MODEL_assumptions'!$G$5</f>
        <v>1633660.1371160005</v>
      </c>
      <c r="V17" s="12">
        <f>V9*'1_MODEL_assumptions'!V$9/'1_MODEL_assumptions'!$G$5</f>
        <v>1749249.2977610007</v>
      </c>
      <c r="W17" s="12">
        <f>W9*'1_MODEL_assumptions'!W$9/'1_MODEL_assumptions'!$G$5</f>
        <v>1864838.4584060006</v>
      </c>
      <c r="X17" s="12">
        <f>X9*'1_MODEL_assumptions'!X$9/'1_MODEL_assumptions'!$G$5</f>
        <v>1980427.619051001</v>
      </c>
      <c r="Y17" s="12">
        <f>Y9*'1_MODEL_assumptions'!Y$9/'1_MODEL_assumptions'!$G$5</f>
        <v>2096016.779696001</v>
      </c>
      <c r="Z17" s="12">
        <f>Z9*'1_MODEL_assumptions'!Z$9/'1_MODEL_assumptions'!$G$5</f>
        <v>2211605.9403410009</v>
      </c>
      <c r="AA17" s="12">
        <f>AA9*'1_MODEL_assumptions'!AA$9/'1_MODEL_assumptions'!$G$5</f>
        <v>2327195.1009860011</v>
      </c>
      <c r="AB17" s="12">
        <f>AB9*'1_MODEL_assumptions'!AB$9/'1_MODEL_assumptions'!$G$5</f>
        <v>2442784.2616310013</v>
      </c>
      <c r="AC17" s="12">
        <f>AC9*'1_MODEL_assumptions'!AC$9/'1_MODEL_assumptions'!$G$5</f>
        <v>2558373.4222760014</v>
      </c>
      <c r="AD17" s="12">
        <f>AD9*'1_MODEL_assumptions'!AD$9/'1_MODEL_assumptions'!$G$5</f>
        <v>2673962.5829210011</v>
      </c>
      <c r="AE17" s="12">
        <f>AE9*'1_MODEL_assumptions'!AE$9/'1_MODEL_assumptions'!$G$5</f>
        <v>2789551.7435660018</v>
      </c>
      <c r="AF17" s="12">
        <f>AF9*'1_MODEL_assumptions'!AF$9/'1_MODEL_assumptions'!$G$5</f>
        <v>2905140.9042110019</v>
      </c>
      <c r="AG17" s="12">
        <f>AG9*'1_MODEL_assumptions'!AG$9/'1_MODEL_assumptions'!$G$5</f>
        <v>3020730.0648560016</v>
      </c>
      <c r="AH17" s="12">
        <f>AH9*'1_MODEL_assumptions'!AH$9/'1_MODEL_assumptions'!$G$5</f>
        <v>3136319.2255010023</v>
      </c>
    </row>
    <row r="18" spans="2:34" x14ac:dyDescent="0.2">
      <c r="D18" s="4" t="s">
        <v>259</v>
      </c>
      <c r="E18" s="4" t="s">
        <v>140</v>
      </c>
      <c r="I18" s="12">
        <f>I10*'1_MODEL_assumptions'!I$9/'1_MODEL_assumptions'!$G$5</f>
        <v>119772.391552</v>
      </c>
      <c r="J18" s="12">
        <f>J10*'1_MODEL_assumptions'!J$9/'1_MODEL_assumptions'!$G$5</f>
        <v>175915.70009200001</v>
      </c>
      <c r="K18" s="12">
        <f>K10*'1_MODEL_assumptions'!K$9/'1_MODEL_assumptions'!$G$5</f>
        <v>185647.20690560003</v>
      </c>
      <c r="L18" s="12">
        <f>L10*'1_MODEL_assumptions'!L$9/'1_MODEL_assumptions'!$G$5</f>
        <v>230561.85373760006</v>
      </c>
      <c r="M18" s="12">
        <f>M10*'1_MODEL_assumptions'!M$9/'1_MODEL_assumptions'!$G$5</f>
        <v>344345.62571200001</v>
      </c>
      <c r="N18" s="12">
        <f>N10*'1_MODEL_assumptions'!N$9/'1_MODEL_assumptions'!$G$5</f>
        <v>400488.93425200001</v>
      </c>
      <c r="O18" s="12">
        <f>O10*'1_MODEL_assumptions'!O$9/'1_MODEL_assumptions'!$G$5</f>
        <v>456632.242792</v>
      </c>
      <c r="P18" s="12">
        <f>P10*'1_MODEL_assumptions'!P$9/'1_MODEL_assumptions'!$G$5</f>
        <v>512775.551332</v>
      </c>
      <c r="Q18" s="12">
        <f>Q10*'1_MODEL_assumptions'!Q$9/'1_MODEL_assumptions'!$G$5</f>
        <v>568918.85987200006</v>
      </c>
      <c r="R18" s="12">
        <f>R10*'1_MODEL_assumptions'!R$9/'1_MODEL_assumptions'!$G$5</f>
        <v>625062.16841200017</v>
      </c>
      <c r="S18" s="12">
        <f>S10*'1_MODEL_assumptions'!S$9/'1_MODEL_assumptions'!$G$5</f>
        <v>681205.47695200017</v>
      </c>
      <c r="T18" s="12">
        <f>T10*'1_MODEL_assumptions'!T$9/'1_MODEL_assumptions'!$G$5</f>
        <v>737348.78549200029</v>
      </c>
      <c r="U18" s="12">
        <f>U10*'1_MODEL_assumptions'!U$9/'1_MODEL_assumptions'!$G$5</f>
        <v>793492.0940320004</v>
      </c>
      <c r="V18" s="12">
        <f>V10*'1_MODEL_assumptions'!V$9/'1_MODEL_assumptions'!$G$5</f>
        <v>849635.4025720004</v>
      </c>
      <c r="W18" s="12">
        <f>W10*'1_MODEL_assumptions'!W$9/'1_MODEL_assumptions'!$G$5</f>
        <v>905778.7111120004</v>
      </c>
      <c r="X18" s="12">
        <f>X10*'1_MODEL_assumptions'!X$9/'1_MODEL_assumptions'!$G$5</f>
        <v>961922.01965200063</v>
      </c>
      <c r="Y18" s="12">
        <f>Y10*'1_MODEL_assumptions'!Y$9/'1_MODEL_assumptions'!$G$5</f>
        <v>1018065.3281920006</v>
      </c>
      <c r="Z18" s="12">
        <f>Z10*'1_MODEL_assumptions'!Z$9/'1_MODEL_assumptions'!$G$5</f>
        <v>1074208.6367320006</v>
      </c>
      <c r="AA18" s="12">
        <f>AA10*'1_MODEL_assumptions'!AA$9/'1_MODEL_assumptions'!$G$5</f>
        <v>1130351.9452720007</v>
      </c>
      <c r="AB18" s="12">
        <f>AB10*'1_MODEL_assumptions'!AB$9/'1_MODEL_assumptions'!$G$5</f>
        <v>1186495.2538120006</v>
      </c>
      <c r="AC18" s="12">
        <f>AC10*'1_MODEL_assumptions'!AC$9/'1_MODEL_assumptions'!$G$5</f>
        <v>1242638.5623520007</v>
      </c>
      <c r="AD18" s="12">
        <f>AD10*'1_MODEL_assumptions'!AD$9/'1_MODEL_assumptions'!$G$5</f>
        <v>1298781.8708920009</v>
      </c>
      <c r="AE18" s="12">
        <f>AE10*'1_MODEL_assumptions'!AE$9/'1_MODEL_assumptions'!$G$5</f>
        <v>1354925.1794320007</v>
      </c>
      <c r="AF18" s="12">
        <f>AF10*'1_MODEL_assumptions'!AF$9/'1_MODEL_assumptions'!$G$5</f>
        <v>1411068.4879720008</v>
      </c>
      <c r="AG18" s="12">
        <f>AG10*'1_MODEL_assumptions'!AG$9/'1_MODEL_assumptions'!$G$5</f>
        <v>1467211.7965120007</v>
      </c>
      <c r="AH18" s="12">
        <f>AH10*'1_MODEL_assumptions'!AH$9/'1_MODEL_assumptions'!$G$5</f>
        <v>1523355.1050520011</v>
      </c>
    </row>
    <row r="20" spans="2:34" x14ac:dyDescent="0.2">
      <c r="C20" s="1" t="s">
        <v>278</v>
      </c>
    </row>
    <row r="21" spans="2:34" x14ac:dyDescent="0.2">
      <c r="D21" s="4" t="s">
        <v>254</v>
      </c>
      <c r="E21" s="4" t="s">
        <v>140</v>
      </c>
      <c r="I21" s="12">
        <f>('1_MODEL_assumptions'!I$12/'1_MODEL_assumptions'!$G$5)*I5</f>
        <v>578539.284032</v>
      </c>
      <c r="J21" s="12">
        <f>('1_MODEL_assumptions'!J$12/'1_MODEL_assumptions'!$G$5)*J5</f>
        <v>1816318.27</v>
      </c>
      <c r="K21" s="12">
        <f>('1_MODEL_assumptions'!K$12/'1_MODEL_assumptions'!$G$5)*K5</f>
        <v>2906109.2319999998</v>
      </c>
      <c r="L21" s="12">
        <f>('1_MODEL_assumptions'!L$12/'1_MODEL_assumptions'!$G$5)*L5</f>
        <v>3632636.54</v>
      </c>
      <c r="M21" s="12">
        <f>('1_MODEL_assumptions'!M$12/'1_MODEL_assumptions'!$G$5)*M5</f>
        <v>14530546.16</v>
      </c>
      <c r="N21" s="12">
        <f>('1_MODEL_assumptions'!N$12/'1_MODEL_assumptions'!$G$5)*N5</f>
        <v>19979500.970000003</v>
      </c>
      <c r="O21" s="12">
        <f>('1_MODEL_assumptions'!O$12/'1_MODEL_assumptions'!$G$5)*O5</f>
        <v>22885610.202</v>
      </c>
      <c r="P21" s="12">
        <f>('1_MODEL_assumptions'!P$12/'1_MODEL_assumptions'!$G$5)*P5</f>
        <v>24157032.991</v>
      </c>
      <c r="Q21" s="12">
        <f>('1_MODEL_assumptions'!Q$12/'1_MODEL_assumptions'!$G$5)*Q5</f>
        <v>25428455.780000001</v>
      </c>
      <c r="R21" s="12">
        <f>('1_MODEL_assumptions'!R$12/'1_MODEL_assumptions'!$G$5)*R5</f>
        <v>26699878.569000002</v>
      </c>
      <c r="S21" s="12">
        <f>('1_MODEL_assumptions'!S$12/'1_MODEL_assumptions'!$G$5)*S5</f>
        <v>27971301.358000003</v>
      </c>
      <c r="T21" s="12">
        <f>('1_MODEL_assumptions'!T$12/'1_MODEL_assumptions'!$G$5)*T5</f>
        <v>29061092.32</v>
      </c>
      <c r="U21" s="12">
        <f>('1_MODEL_assumptions'!U$12/'1_MODEL_assumptions'!$G$5)*U5</f>
        <v>29061092.32</v>
      </c>
      <c r="V21" s="12">
        <f>('1_MODEL_assumptions'!V$12/'1_MODEL_assumptions'!$G$5)*V5</f>
        <v>29061092.32</v>
      </c>
      <c r="W21" s="12">
        <f>('1_MODEL_assumptions'!W$12/'1_MODEL_assumptions'!$G$5)*W5</f>
        <v>29061092.32</v>
      </c>
      <c r="X21" s="12">
        <f>('1_MODEL_assumptions'!X$12/'1_MODEL_assumptions'!$G$5)*X5</f>
        <v>29061092.32</v>
      </c>
      <c r="Y21" s="12">
        <f>('1_MODEL_assumptions'!Y$12/'1_MODEL_assumptions'!$G$5)*Y5</f>
        <v>29061092.32</v>
      </c>
      <c r="Z21" s="12">
        <f>('1_MODEL_assumptions'!Z$12/'1_MODEL_assumptions'!$G$5)*Z5</f>
        <v>29061092.32</v>
      </c>
      <c r="AA21" s="12">
        <f>('1_MODEL_assumptions'!AA$12/'1_MODEL_assumptions'!$G$5)*AA5</f>
        <v>29061092.32</v>
      </c>
      <c r="AB21" s="12">
        <f>('1_MODEL_assumptions'!AB$12/'1_MODEL_assumptions'!$G$5)*AB5</f>
        <v>29061092.32</v>
      </c>
      <c r="AC21" s="12">
        <f>('1_MODEL_assumptions'!AC$12/'1_MODEL_assumptions'!$G$5)*AC5</f>
        <v>29061092.32</v>
      </c>
      <c r="AD21" s="12">
        <f>('1_MODEL_assumptions'!AD$12/'1_MODEL_assumptions'!$G$5)*AD5</f>
        <v>29061092.32</v>
      </c>
      <c r="AE21" s="12">
        <f>('1_MODEL_assumptions'!AE$12/'1_MODEL_assumptions'!$G$5)*AE5</f>
        <v>29061092.32</v>
      </c>
      <c r="AF21" s="12">
        <f>('1_MODEL_assumptions'!AF$12/'1_MODEL_assumptions'!$G$5)*AF5</f>
        <v>29061092.32</v>
      </c>
      <c r="AG21" s="12">
        <f>('1_MODEL_assumptions'!AG$12/'1_MODEL_assumptions'!$G$5)*AG5</f>
        <v>29061092.32</v>
      </c>
      <c r="AH21" s="12">
        <f>('1_MODEL_assumptions'!AH$12/'1_MODEL_assumptions'!$G$5)*AH5</f>
        <v>29061092.32</v>
      </c>
    </row>
    <row r="22" spans="2:34" x14ac:dyDescent="0.2">
      <c r="D22" s="4" t="s">
        <v>255</v>
      </c>
      <c r="E22" s="4" t="s">
        <v>140</v>
      </c>
      <c r="I22" s="12">
        <f>('1_MODEL_assumptions'!I$12/'1_MODEL_assumptions'!$G$5)*I6</f>
        <v>421851.57766400004</v>
      </c>
      <c r="J22" s="12">
        <f>('1_MODEL_assumptions'!J$12/'1_MODEL_assumptions'!$G$5)*J6</f>
        <v>1324398.79</v>
      </c>
      <c r="K22" s="12">
        <f>('1_MODEL_assumptions'!K$12/'1_MODEL_assumptions'!$G$5)*K6</f>
        <v>2119038.0640000002</v>
      </c>
      <c r="L22" s="12">
        <f>('1_MODEL_assumptions'!L$12/'1_MODEL_assumptions'!$G$5)*L6</f>
        <v>2648797.58</v>
      </c>
      <c r="M22" s="12">
        <f>('1_MODEL_assumptions'!M$12/'1_MODEL_assumptions'!$G$5)*M6</f>
        <v>10595190.32</v>
      </c>
      <c r="N22" s="12">
        <f>('1_MODEL_assumptions'!N$12/'1_MODEL_assumptions'!$G$5)*N6</f>
        <v>14568386.690000001</v>
      </c>
      <c r="O22" s="12">
        <f>('1_MODEL_assumptions'!O$12/'1_MODEL_assumptions'!$G$5)*O6</f>
        <v>16687424.754000001</v>
      </c>
      <c r="P22" s="12">
        <f>('1_MODEL_assumptions'!P$12/'1_MODEL_assumptions'!$G$5)*P6</f>
        <v>17614503.907000002</v>
      </c>
      <c r="Q22" s="12">
        <f>('1_MODEL_assumptions'!Q$12/'1_MODEL_assumptions'!$G$5)*Q6</f>
        <v>18541583.060000002</v>
      </c>
      <c r="R22" s="12">
        <f>('1_MODEL_assumptions'!R$12/'1_MODEL_assumptions'!$G$5)*R6</f>
        <v>19468662.213000003</v>
      </c>
      <c r="S22" s="12">
        <f>('1_MODEL_assumptions'!S$12/'1_MODEL_assumptions'!$G$5)*S6</f>
        <v>20395741.366000004</v>
      </c>
      <c r="T22" s="12">
        <f>('1_MODEL_assumptions'!T$12/'1_MODEL_assumptions'!$G$5)*T6</f>
        <v>21190380.640000001</v>
      </c>
      <c r="U22" s="12">
        <f>('1_MODEL_assumptions'!U$12/'1_MODEL_assumptions'!$G$5)*U6</f>
        <v>21190380.640000001</v>
      </c>
      <c r="V22" s="12">
        <f>('1_MODEL_assumptions'!V$12/'1_MODEL_assumptions'!$G$5)*V6</f>
        <v>21190380.640000001</v>
      </c>
      <c r="W22" s="12">
        <f>('1_MODEL_assumptions'!W$12/'1_MODEL_assumptions'!$G$5)*W6</f>
        <v>21190380.640000001</v>
      </c>
      <c r="X22" s="12">
        <f>('1_MODEL_assumptions'!X$12/'1_MODEL_assumptions'!$G$5)*X6</f>
        <v>21190380.640000001</v>
      </c>
      <c r="Y22" s="12">
        <f>('1_MODEL_assumptions'!Y$12/'1_MODEL_assumptions'!$G$5)*Y6</f>
        <v>21190380.640000001</v>
      </c>
      <c r="Z22" s="12">
        <f>('1_MODEL_assumptions'!Z$12/'1_MODEL_assumptions'!$G$5)*Z6</f>
        <v>21190380.640000001</v>
      </c>
      <c r="AA22" s="12">
        <f>('1_MODEL_assumptions'!AA$12/'1_MODEL_assumptions'!$G$5)*AA6</f>
        <v>21190380.640000001</v>
      </c>
      <c r="AB22" s="12">
        <f>('1_MODEL_assumptions'!AB$12/'1_MODEL_assumptions'!$G$5)*AB6</f>
        <v>21190380.640000001</v>
      </c>
      <c r="AC22" s="12">
        <f>('1_MODEL_assumptions'!AC$12/'1_MODEL_assumptions'!$G$5)*AC6</f>
        <v>21190380.640000001</v>
      </c>
      <c r="AD22" s="12">
        <f>('1_MODEL_assumptions'!AD$12/'1_MODEL_assumptions'!$G$5)*AD6</f>
        <v>21190380.640000001</v>
      </c>
      <c r="AE22" s="12">
        <f>('1_MODEL_assumptions'!AE$12/'1_MODEL_assumptions'!$G$5)*AE6</f>
        <v>21190380.640000001</v>
      </c>
      <c r="AF22" s="12">
        <f>('1_MODEL_assumptions'!AF$12/'1_MODEL_assumptions'!$G$5)*AF6</f>
        <v>21190380.640000001</v>
      </c>
      <c r="AG22" s="12">
        <f>('1_MODEL_assumptions'!AG$12/'1_MODEL_assumptions'!$G$5)*AG6</f>
        <v>21190380.640000001</v>
      </c>
      <c r="AH22" s="12">
        <f>('1_MODEL_assumptions'!AH$12/'1_MODEL_assumptions'!$G$5)*AH6</f>
        <v>21190380.640000001</v>
      </c>
    </row>
    <row r="23" spans="2:34" x14ac:dyDescent="0.2">
      <c r="D23" s="4" t="s">
        <v>256</v>
      </c>
      <c r="E23" s="4" t="s">
        <v>140</v>
      </c>
      <c r="I23" s="12">
        <f>('1_MODEL_assumptions'!I$12/'1_MODEL_assumptions'!$G$5)*I7</f>
        <v>204899.33062400002</v>
      </c>
      <c r="J23" s="12">
        <f>('1_MODEL_assumptions'!J$12/'1_MODEL_assumptions'!$G$5)*J7</f>
        <v>643279.39000000013</v>
      </c>
      <c r="K23" s="12">
        <f>('1_MODEL_assumptions'!K$12/'1_MODEL_assumptions'!$G$5)*K7</f>
        <v>1029247.0240000001</v>
      </c>
      <c r="L23" s="12">
        <f>('1_MODEL_assumptions'!L$12/'1_MODEL_assumptions'!$G$5)*L7</f>
        <v>1286558.7800000003</v>
      </c>
      <c r="M23" s="12">
        <f>('1_MODEL_assumptions'!M$12/'1_MODEL_assumptions'!$G$5)*M7</f>
        <v>5146235.120000001</v>
      </c>
      <c r="N23" s="12">
        <f>('1_MODEL_assumptions'!N$12/'1_MODEL_assumptions'!$G$5)*N7</f>
        <v>7076073.290000001</v>
      </c>
      <c r="O23" s="12">
        <f>('1_MODEL_assumptions'!O$12/'1_MODEL_assumptions'!$G$5)*O7</f>
        <v>8105320.3140000002</v>
      </c>
      <c r="P23" s="12">
        <f>('1_MODEL_assumptions'!P$12/'1_MODEL_assumptions'!$G$5)*P7</f>
        <v>8555615.8870000001</v>
      </c>
      <c r="Q23" s="12">
        <f>('1_MODEL_assumptions'!Q$12/'1_MODEL_assumptions'!$G$5)*Q7</f>
        <v>9005911.4600000009</v>
      </c>
      <c r="R23" s="12">
        <f>('1_MODEL_assumptions'!R$12/'1_MODEL_assumptions'!$G$5)*R7</f>
        <v>9456207.0330000017</v>
      </c>
      <c r="S23" s="12">
        <f>('1_MODEL_assumptions'!S$12/'1_MODEL_assumptions'!$G$5)*S7</f>
        <v>9906502.6060000025</v>
      </c>
      <c r="T23" s="12">
        <f>('1_MODEL_assumptions'!T$12/'1_MODEL_assumptions'!$G$5)*T7</f>
        <v>10292470.240000002</v>
      </c>
      <c r="U23" s="12">
        <f>('1_MODEL_assumptions'!U$12/'1_MODEL_assumptions'!$G$5)*U7</f>
        <v>10292470.240000002</v>
      </c>
      <c r="V23" s="12">
        <f>('1_MODEL_assumptions'!V$12/'1_MODEL_assumptions'!$G$5)*V7</f>
        <v>10292470.240000002</v>
      </c>
      <c r="W23" s="12">
        <f>('1_MODEL_assumptions'!W$12/'1_MODEL_assumptions'!$G$5)*W7</f>
        <v>10292470.240000002</v>
      </c>
      <c r="X23" s="12">
        <f>('1_MODEL_assumptions'!X$12/'1_MODEL_assumptions'!$G$5)*X7</f>
        <v>10292470.240000002</v>
      </c>
      <c r="Y23" s="12">
        <f>('1_MODEL_assumptions'!Y$12/'1_MODEL_assumptions'!$G$5)*Y7</f>
        <v>10292470.240000002</v>
      </c>
      <c r="Z23" s="12">
        <f>('1_MODEL_assumptions'!Z$12/'1_MODEL_assumptions'!$G$5)*Z7</f>
        <v>10292470.240000002</v>
      </c>
      <c r="AA23" s="12">
        <f>('1_MODEL_assumptions'!AA$12/'1_MODEL_assumptions'!$G$5)*AA7</f>
        <v>10292470.240000002</v>
      </c>
      <c r="AB23" s="12">
        <f>('1_MODEL_assumptions'!AB$12/'1_MODEL_assumptions'!$G$5)*AB7</f>
        <v>10292470.240000002</v>
      </c>
      <c r="AC23" s="12">
        <f>('1_MODEL_assumptions'!AC$12/'1_MODEL_assumptions'!$G$5)*AC7</f>
        <v>10292470.240000002</v>
      </c>
      <c r="AD23" s="12">
        <f>('1_MODEL_assumptions'!AD$12/'1_MODEL_assumptions'!$G$5)*AD7</f>
        <v>10292470.240000002</v>
      </c>
      <c r="AE23" s="12">
        <f>('1_MODEL_assumptions'!AE$12/'1_MODEL_assumptions'!$G$5)*AE7</f>
        <v>10292470.240000002</v>
      </c>
      <c r="AF23" s="12">
        <f>('1_MODEL_assumptions'!AF$12/'1_MODEL_assumptions'!$G$5)*AF7</f>
        <v>10292470.240000002</v>
      </c>
      <c r="AG23" s="12">
        <f>('1_MODEL_assumptions'!AG$12/'1_MODEL_assumptions'!$G$5)*AG7</f>
        <v>10292470.240000002</v>
      </c>
      <c r="AH23" s="12">
        <f>('1_MODEL_assumptions'!AH$12/'1_MODEL_assumptions'!$G$5)*AH7</f>
        <v>10292470.240000002</v>
      </c>
    </row>
    <row r="24" spans="2:34" x14ac:dyDescent="0.2">
      <c r="D24" s="4" t="s">
        <v>257</v>
      </c>
      <c r="E24" s="4" t="s">
        <v>140</v>
      </c>
      <c r="I24" s="12">
        <f>('1_MODEL_assumptions'!I$12/'1_MODEL_assumptions'!$G$5)*I8</f>
        <v>338180.87513599999</v>
      </c>
      <c r="J24" s="12">
        <f>('1_MODEL_assumptions'!J$12/'1_MODEL_assumptions'!$G$5)*J8</f>
        <v>1061715.46</v>
      </c>
      <c r="K24" s="12">
        <f>('1_MODEL_assumptions'!K$12/'1_MODEL_assumptions'!$G$5)*K8</f>
        <v>1698744.736</v>
      </c>
      <c r="L24" s="12">
        <f>('1_MODEL_assumptions'!L$12/'1_MODEL_assumptions'!$G$5)*L8</f>
        <v>2123430.92</v>
      </c>
      <c r="M24" s="12">
        <f>('1_MODEL_assumptions'!M$12/'1_MODEL_assumptions'!$G$5)*M8</f>
        <v>8493723.6799999997</v>
      </c>
      <c r="N24" s="12">
        <f>('1_MODEL_assumptions'!N$12/'1_MODEL_assumptions'!$G$5)*N8</f>
        <v>11678870.060000001</v>
      </c>
      <c r="O24" s="12">
        <f>('1_MODEL_assumptions'!O$12/'1_MODEL_assumptions'!$G$5)*O8</f>
        <v>13377614.796</v>
      </c>
      <c r="P24" s="12">
        <f>('1_MODEL_assumptions'!P$12/'1_MODEL_assumptions'!$G$5)*P8</f>
        <v>14120815.618000001</v>
      </c>
      <c r="Q24" s="12">
        <f>('1_MODEL_assumptions'!Q$12/'1_MODEL_assumptions'!$G$5)*Q8</f>
        <v>14864016.440000001</v>
      </c>
      <c r="R24" s="12">
        <f>('1_MODEL_assumptions'!R$12/'1_MODEL_assumptions'!$G$5)*R8</f>
        <v>15607217.262000002</v>
      </c>
      <c r="S24" s="12">
        <f>('1_MODEL_assumptions'!S$12/'1_MODEL_assumptions'!$G$5)*S8</f>
        <v>16350418.084000003</v>
      </c>
      <c r="T24" s="12">
        <f>('1_MODEL_assumptions'!T$12/'1_MODEL_assumptions'!$G$5)*T8</f>
        <v>16987447.359999999</v>
      </c>
      <c r="U24" s="12">
        <f>('1_MODEL_assumptions'!U$12/'1_MODEL_assumptions'!$G$5)*U8</f>
        <v>16987447.359999999</v>
      </c>
      <c r="V24" s="12">
        <f>('1_MODEL_assumptions'!V$12/'1_MODEL_assumptions'!$G$5)*V8</f>
        <v>16987447.359999999</v>
      </c>
      <c r="W24" s="12">
        <f>('1_MODEL_assumptions'!W$12/'1_MODEL_assumptions'!$G$5)*W8</f>
        <v>16987447.359999999</v>
      </c>
      <c r="X24" s="12">
        <f>('1_MODEL_assumptions'!X$12/'1_MODEL_assumptions'!$G$5)*X8</f>
        <v>16987447.359999999</v>
      </c>
      <c r="Y24" s="12">
        <f>('1_MODEL_assumptions'!Y$12/'1_MODEL_assumptions'!$G$5)*Y8</f>
        <v>16987447.359999999</v>
      </c>
      <c r="Z24" s="12">
        <f>('1_MODEL_assumptions'!Z$12/'1_MODEL_assumptions'!$G$5)*Z8</f>
        <v>16987447.359999999</v>
      </c>
      <c r="AA24" s="12">
        <f>('1_MODEL_assumptions'!AA$12/'1_MODEL_assumptions'!$G$5)*AA8</f>
        <v>16987447.359999999</v>
      </c>
      <c r="AB24" s="12">
        <f>('1_MODEL_assumptions'!AB$12/'1_MODEL_assumptions'!$G$5)*AB8</f>
        <v>16987447.359999999</v>
      </c>
      <c r="AC24" s="12">
        <f>('1_MODEL_assumptions'!AC$12/'1_MODEL_assumptions'!$G$5)*AC8</f>
        <v>16987447.359999999</v>
      </c>
      <c r="AD24" s="12">
        <f>('1_MODEL_assumptions'!AD$12/'1_MODEL_assumptions'!$G$5)*AD8</f>
        <v>16987447.359999999</v>
      </c>
      <c r="AE24" s="12">
        <f>('1_MODEL_assumptions'!AE$12/'1_MODEL_assumptions'!$G$5)*AE8</f>
        <v>16987447.359999999</v>
      </c>
      <c r="AF24" s="12">
        <f>('1_MODEL_assumptions'!AF$12/'1_MODEL_assumptions'!$G$5)*AF8</f>
        <v>16987447.359999999</v>
      </c>
      <c r="AG24" s="12">
        <f>('1_MODEL_assumptions'!AG$12/'1_MODEL_assumptions'!$G$5)*AG8</f>
        <v>16987447.359999999</v>
      </c>
      <c r="AH24" s="12">
        <f>('1_MODEL_assumptions'!AH$12/'1_MODEL_assumptions'!$G$5)*AH8</f>
        <v>16987447.359999999</v>
      </c>
    </row>
    <row r="25" spans="2:34" x14ac:dyDescent="0.2">
      <c r="D25" s="4" t="s">
        <v>258</v>
      </c>
      <c r="E25" s="4" t="s">
        <v>140</v>
      </c>
      <c r="I25" s="12">
        <f>('1_MODEL_assumptions'!I$12/'1_MODEL_assumptions'!$G$5)*I9</f>
        <v>246590.20937599998</v>
      </c>
      <c r="J25" s="12">
        <f>('1_MODEL_assumptions'!J$12/'1_MODEL_assumptions'!$G$5)*J9</f>
        <v>774167.48499999999</v>
      </c>
      <c r="K25" s="12">
        <f>('1_MODEL_assumptions'!K$12/'1_MODEL_assumptions'!$G$5)*K9</f>
        <v>1238667.976</v>
      </c>
      <c r="L25" s="12">
        <f>('1_MODEL_assumptions'!L$12/'1_MODEL_assumptions'!$G$5)*L9</f>
        <v>1548334.97</v>
      </c>
      <c r="M25" s="12">
        <f>('1_MODEL_assumptions'!M$12/'1_MODEL_assumptions'!$G$5)*M9</f>
        <v>6193339.8799999999</v>
      </c>
      <c r="N25" s="12">
        <f>('1_MODEL_assumptions'!N$12/'1_MODEL_assumptions'!$G$5)*N9</f>
        <v>8515842.3350000009</v>
      </c>
      <c r="O25" s="12">
        <f>('1_MODEL_assumptions'!O$12/'1_MODEL_assumptions'!$G$5)*O9</f>
        <v>9754510.3109999988</v>
      </c>
      <c r="P25" s="12">
        <f>('1_MODEL_assumptions'!P$12/'1_MODEL_assumptions'!$G$5)*P9</f>
        <v>10296427.5505</v>
      </c>
      <c r="Q25" s="12">
        <f>('1_MODEL_assumptions'!Q$12/'1_MODEL_assumptions'!$G$5)*Q9</f>
        <v>10838344.790000001</v>
      </c>
      <c r="R25" s="12">
        <f>('1_MODEL_assumptions'!R$12/'1_MODEL_assumptions'!$G$5)*R9</f>
        <v>11380262.0295</v>
      </c>
      <c r="S25" s="12">
        <f>('1_MODEL_assumptions'!S$12/'1_MODEL_assumptions'!$G$5)*S9</f>
        <v>11922179.269000001</v>
      </c>
      <c r="T25" s="12">
        <f>('1_MODEL_assumptions'!T$12/'1_MODEL_assumptions'!$G$5)*T9</f>
        <v>12386679.76</v>
      </c>
      <c r="U25" s="12">
        <f>('1_MODEL_assumptions'!U$12/'1_MODEL_assumptions'!$G$5)*U9</f>
        <v>12386679.76</v>
      </c>
      <c r="V25" s="12">
        <f>('1_MODEL_assumptions'!V$12/'1_MODEL_assumptions'!$G$5)*V9</f>
        <v>12386679.76</v>
      </c>
      <c r="W25" s="12">
        <f>('1_MODEL_assumptions'!W$12/'1_MODEL_assumptions'!$G$5)*W9</f>
        <v>12386679.76</v>
      </c>
      <c r="X25" s="12">
        <f>('1_MODEL_assumptions'!X$12/'1_MODEL_assumptions'!$G$5)*X9</f>
        <v>12386679.76</v>
      </c>
      <c r="Y25" s="12">
        <f>('1_MODEL_assumptions'!Y$12/'1_MODEL_assumptions'!$G$5)*Y9</f>
        <v>12386679.76</v>
      </c>
      <c r="Z25" s="12">
        <f>('1_MODEL_assumptions'!Z$12/'1_MODEL_assumptions'!$G$5)*Z9</f>
        <v>12386679.76</v>
      </c>
      <c r="AA25" s="12">
        <f>('1_MODEL_assumptions'!AA$12/'1_MODEL_assumptions'!$G$5)*AA9</f>
        <v>12386679.76</v>
      </c>
      <c r="AB25" s="12">
        <f>('1_MODEL_assumptions'!AB$12/'1_MODEL_assumptions'!$G$5)*AB9</f>
        <v>12386679.76</v>
      </c>
      <c r="AC25" s="12">
        <f>('1_MODEL_assumptions'!AC$12/'1_MODEL_assumptions'!$G$5)*AC9</f>
        <v>12386679.76</v>
      </c>
      <c r="AD25" s="12">
        <f>('1_MODEL_assumptions'!AD$12/'1_MODEL_assumptions'!$G$5)*AD9</f>
        <v>12386679.76</v>
      </c>
      <c r="AE25" s="12">
        <f>('1_MODEL_assumptions'!AE$12/'1_MODEL_assumptions'!$G$5)*AE9</f>
        <v>12386679.76</v>
      </c>
      <c r="AF25" s="12">
        <f>('1_MODEL_assumptions'!AF$12/'1_MODEL_assumptions'!$G$5)*AF9</f>
        <v>12386679.76</v>
      </c>
      <c r="AG25" s="12">
        <f>('1_MODEL_assumptions'!AG$12/'1_MODEL_assumptions'!$G$5)*AG9</f>
        <v>12386679.76</v>
      </c>
      <c r="AH25" s="12">
        <f>('1_MODEL_assumptions'!AH$12/'1_MODEL_assumptions'!$G$5)*AH9</f>
        <v>12386679.76</v>
      </c>
    </row>
    <row r="26" spans="2:34" x14ac:dyDescent="0.2">
      <c r="D26" s="4" t="s">
        <v>259</v>
      </c>
      <c r="E26" s="4" t="s">
        <v>140</v>
      </c>
      <c r="I26" s="12">
        <f>('1_MODEL_assumptions'!I$12/'1_MODEL_assumptions'!$G$5)*I10</f>
        <v>119772.39155200002</v>
      </c>
      <c r="J26" s="12">
        <f>('1_MODEL_assumptions'!J$12/'1_MODEL_assumptions'!$G$5)*J10</f>
        <v>376024.22000000003</v>
      </c>
      <c r="K26" s="12">
        <f>('1_MODEL_assumptions'!K$12/'1_MODEL_assumptions'!$G$5)*K10</f>
        <v>601638.75200000009</v>
      </c>
      <c r="L26" s="12">
        <f>('1_MODEL_assumptions'!L$12/'1_MODEL_assumptions'!$G$5)*L10</f>
        <v>752048.44000000006</v>
      </c>
      <c r="M26" s="12">
        <f>('1_MODEL_assumptions'!M$12/'1_MODEL_assumptions'!$G$5)*M10</f>
        <v>3008193.7600000002</v>
      </c>
      <c r="N26" s="12">
        <f>('1_MODEL_assumptions'!N$12/'1_MODEL_assumptions'!$G$5)*N10</f>
        <v>4136266.4200000004</v>
      </c>
      <c r="O26" s="12">
        <f>('1_MODEL_assumptions'!O$12/'1_MODEL_assumptions'!$G$5)*O10</f>
        <v>4737905.1720000003</v>
      </c>
      <c r="P26" s="12">
        <f>('1_MODEL_assumptions'!P$12/'1_MODEL_assumptions'!$G$5)*P10</f>
        <v>5001122.1260000002</v>
      </c>
      <c r="Q26" s="12">
        <f>('1_MODEL_assumptions'!Q$12/'1_MODEL_assumptions'!$G$5)*Q10</f>
        <v>5264339.080000001</v>
      </c>
      <c r="R26" s="12">
        <f>('1_MODEL_assumptions'!R$12/'1_MODEL_assumptions'!$G$5)*R10</f>
        <v>5527556.0340000009</v>
      </c>
      <c r="S26" s="12">
        <f>('1_MODEL_assumptions'!S$12/'1_MODEL_assumptions'!$G$5)*S10</f>
        <v>5790772.9880000008</v>
      </c>
      <c r="T26" s="12">
        <f>('1_MODEL_assumptions'!T$12/'1_MODEL_assumptions'!$G$5)*T10</f>
        <v>6016387.5200000005</v>
      </c>
      <c r="U26" s="12">
        <f>('1_MODEL_assumptions'!U$12/'1_MODEL_assumptions'!$G$5)*U10</f>
        <v>6016387.5200000005</v>
      </c>
      <c r="V26" s="12">
        <f>('1_MODEL_assumptions'!V$12/'1_MODEL_assumptions'!$G$5)*V10</f>
        <v>6016387.5200000005</v>
      </c>
      <c r="W26" s="12">
        <f>('1_MODEL_assumptions'!W$12/'1_MODEL_assumptions'!$G$5)*W10</f>
        <v>6016387.5200000005</v>
      </c>
      <c r="X26" s="12">
        <f>('1_MODEL_assumptions'!X$12/'1_MODEL_assumptions'!$G$5)*X10</f>
        <v>6016387.5200000005</v>
      </c>
      <c r="Y26" s="12">
        <f>('1_MODEL_assumptions'!Y$12/'1_MODEL_assumptions'!$G$5)*Y10</f>
        <v>6016387.5200000005</v>
      </c>
      <c r="Z26" s="12">
        <f>('1_MODEL_assumptions'!Z$12/'1_MODEL_assumptions'!$G$5)*Z10</f>
        <v>6016387.5200000005</v>
      </c>
      <c r="AA26" s="12">
        <f>('1_MODEL_assumptions'!AA$12/'1_MODEL_assumptions'!$G$5)*AA10</f>
        <v>6016387.5200000005</v>
      </c>
      <c r="AB26" s="12">
        <f>('1_MODEL_assumptions'!AB$12/'1_MODEL_assumptions'!$G$5)*AB10</f>
        <v>6016387.5200000005</v>
      </c>
      <c r="AC26" s="12">
        <f>('1_MODEL_assumptions'!AC$12/'1_MODEL_assumptions'!$G$5)*AC10</f>
        <v>6016387.5200000005</v>
      </c>
      <c r="AD26" s="12">
        <f>('1_MODEL_assumptions'!AD$12/'1_MODEL_assumptions'!$G$5)*AD10</f>
        <v>6016387.5200000005</v>
      </c>
      <c r="AE26" s="12">
        <f>('1_MODEL_assumptions'!AE$12/'1_MODEL_assumptions'!$G$5)*AE10</f>
        <v>6016387.5200000005</v>
      </c>
      <c r="AF26" s="12">
        <f>('1_MODEL_assumptions'!AF$12/'1_MODEL_assumptions'!$G$5)*AF10</f>
        <v>6016387.5200000005</v>
      </c>
      <c r="AG26" s="12">
        <f>('1_MODEL_assumptions'!AG$12/'1_MODEL_assumptions'!$G$5)*AG10</f>
        <v>6016387.5200000005</v>
      </c>
      <c r="AH26" s="12">
        <f>('1_MODEL_assumptions'!AH$12/'1_MODEL_assumptions'!$G$5)*AH10</f>
        <v>6016387.5200000005</v>
      </c>
    </row>
    <row r="27" spans="2:34" x14ac:dyDescent="0.2">
      <c r="D27" s="4"/>
      <c r="E27" s="4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2:34" x14ac:dyDescent="0.2">
      <c r="B28" s="1" t="s">
        <v>473</v>
      </c>
    </row>
    <row r="29" spans="2:34" x14ac:dyDescent="0.2">
      <c r="C29" s="1" t="s">
        <v>282</v>
      </c>
    </row>
    <row r="30" spans="2:34" x14ac:dyDescent="0.2">
      <c r="D30" s="4" t="s">
        <v>287</v>
      </c>
      <c r="E30" s="4" t="s">
        <v>140</v>
      </c>
      <c r="I30" s="12">
        <f t="shared" ref="I30:AG30" si="8">I13</f>
        <v>578539.284032</v>
      </c>
      <c r="J30" s="12">
        <f t="shared" si="8"/>
        <v>849729.57342199993</v>
      </c>
      <c r="K30" s="12">
        <f t="shared" si="8"/>
        <v>896735.89024959994</v>
      </c>
      <c r="L30" s="12">
        <f t="shared" si="8"/>
        <v>1113688.1217616</v>
      </c>
      <c r="M30" s="12">
        <f t="shared" si="8"/>
        <v>1663300.441592</v>
      </c>
      <c r="N30" s="12">
        <f t="shared" si="8"/>
        <v>1934490.730982</v>
      </c>
      <c r="O30" s="12">
        <f t="shared" si="8"/>
        <v>2205681.0203720001</v>
      </c>
      <c r="P30" s="12">
        <f t="shared" si="8"/>
        <v>2476871.3097620001</v>
      </c>
      <c r="Q30" s="12">
        <f t="shared" si="8"/>
        <v>2748061.5991520006</v>
      </c>
      <c r="R30" s="12">
        <f t="shared" si="8"/>
        <v>3019251.8885420007</v>
      </c>
      <c r="S30" s="12">
        <f t="shared" si="8"/>
        <v>3290442.1779320007</v>
      </c>
      <c r="T30" s="12">
        <f t="shared" si="8"/>
        <v>3561632.4673220012</v>
      </c>
      <c r="U30" s="12">
        <f t="shared" si="8"/>
        <v>3832822.7567120013</v>
      </c>
      <c r="V30" s="12">
        <f t="shared" si="8"/>
        <v>4104013.0461020013</v>
      </c>
      <c r="W30" s="12">
        <f t="shared" si="8"/>
        <v>4375203.3354920009</v>
      </c>
      <c r="X30" s="12">
        <f t="shared" si="8"/>
        <v>4646393.6248820024</v>
      </c>
      <c r="Y30" s="12">
        <f t="shared" si="8"/>
        <v>4917583.9142720019</v>
      </c>
      <c r="Z30" s="12">
        <f t="shared" si="8"/>
        <v>5188774.2036620015</v>
      </c>
      <c r="AA30" s="12">
        <f t="shared" si="8"/>
        <v>5459964.493052002</v>
      </c>
      <c r="AB30" s="12">
        <f t="shared" si="8"/>
        <v>5731154.7824420026</v>
      </c>
      <c r="AC30" s="12">
        <f t="shared" si="8"/>
        <v>6002345.0718320031</v>
      </c>
      <c r="AD30" s="12">
        <f t="shared" si="8"/>
        <v>6273535.3612220027</v>
      </c>
      <c r="AE30" s="12">
        <f t="shared" si="8"/>
        <v>6544725.6506120032</v>
      </c>
      <c r="AF30" s="12">
        <f t="shared" si="8"/>
        <v>6815915.9400020046</v>
      </c>
      <c r="AG30" s="12">
        <f t="shared" si="8"/>
        <v>7087106.2293920042</v>
      </c>
      <c r="AH30" s="12">
        <f t="shared" ref="AH30" si="9">AH13</f>
        <v>7358296.5187820038</v>
      </c>
    </row>
    <row r="31" spans="2:34" x14ac:dyDescent="0.2">
      <c r="D31" s="4" t="s">
        <v>288</v>
      </c>
      <c r="E31" s="4" t="s">
        <v>140</v>
      </c>
      <c r="I31" s="12">
        <f t="shared" ref="I31:AG31" si="10">I14</f>
        <v>421851.57766399998</v>
      </c>
      <c r="J31" s="12">
        <f t="shared" si="10"/>
        <v>619594.504694</v>
      </c>
      <c r="K31" s="12">
        <f t="shared" si="10"/>
        <v>653869.94537920004</v>
      </c>
      <c r="L31" s="12">
        <f t="shared" si="10"/>
        <v>812064.28700320015</v>
      </c>
      <c r="M31" s="12">
        <f t="shared" si="10"/>
        <v>1212823.2857840001</v>
      </c>
      <c r="N31" s="12">
        <f t="shared" si="10"/>
        <v>1410566.212814</v>
      </c>
      <c r="O31" s="12">
        <f t="shared" si="10"/>
        <v>1608309.1398439999</v>
      </c>
      <c r="P31" s="12">
        <f t="shared" si="10"/>
        <v>1806052.0668740002</v>
      </c>
      <c r="Q31" s="12">
        <f t="shared" si="10"/>
        <v>2003794.9939040006</v>
      </c>
      <c r="R31" s="12">
        <f t="shared" si="10"/>
        <v>2201537.9209340005</v>
      </c>
      <c r="S31" s="12">
        <f t="shared" si="10"/>
        <v>2399280.8479640004</v>
      </c>
      <c r="T31" s="12">
        <f t="shared" si="10"/>
        <v>2597023.7749940008</v>
      </c>
      <c r="U31" s="12">
        <f t="shared" si="10"/>
        <v>2794766.7020240012</v>
      </c>
      <c r="V31" s="12">
        <f t="shared" si="10"/>
        <v>2992509.6290540011</v>
      </c>
      <c r="W31" s="12">
        <f t="shared" si="10"/>
        <v>3190252.5560840014</v>
      </c>
      <c r="X31" s="12">
        <f t="shared" si="10"/>
        <v>3387995.4831140018</v>
      </c>
      <c r="Y31" s="12">
        <f t="shared" si="10"/>
        <v>3585738.4101440017</v>
      </c>
      <c r="Z31" s="12">
        <f t="shared" si="10"/>
        <v>3783481.3371740016</v>
      </c>
      <c r="AA31" s="12">
        <f t="shared" si="10"/>
        <v>3981224.2642040015</v>
      </c>
      <c r="AB31" s="12">
        <f t="shared" si="10"/>
        <v>4178967.1912340024</v>
      </c>
      <c r="AC31" s="12">
        <f t="shared" si="10"/>
        <v>4376710.1182640027</v>
      </c>
      <c r="AD31" s="12">
        <f t="shared" si="10"/>
        <v>4574453.0452940026</v>
      </c>
      <c r="AE31" s="12">
        <f t="shared" si="10"/>
        <v>4772195.9723240035</v>
      </c>
      <c r="AF31" s="12">
        <f t="shared" si="10"/>
        <v>4969938.8993540034</v>
      </c>
      <c r="AG31" s="12">
        <f t="shared" si="10"/>
        <v>5167681.8263840033</v>
      </c>
      <c r="AH31" s="12">
        <f t="shared" ref="AH31" si="11">AH14</f>
        <v>5365424.7534140041</v>
      </c>
    </row>
    <row r="32" spans="2:34" x14ac:dyDescent="0.2">
      <c r="D32" s="4"/>
      <c r="E32" s="4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2:34" x14ac:dyDescent="0.2">
      <c r="D33" s="4" t="s">
        <v>289</v>
      </c>
      <c r="E33" s="4" t="s">
        <v>140</v>
      </c>
      <c r="I33" s="12">
        <f>SUM(I30:I32)</f>
        <v>1000390.861696</v>
      </c>
      <c r="J33" s="12">
        <f t="shared" ref="J33:AG33" si="12">SUM(J30:J32)</f>
        <v>1469324.0781159999</v>
      </c>
      <c r="K33" s="12">
        <f t="shared" si="12"/>
        <v>1550605.8356288001</v>
      </c>
      <c r="L33" s="12">
        <f t="shared" si="12"/>
        <v>1925752.4087648001</v>
      </c>
      <c r="M33" s="12">
        <f t="shared" si="12"/>
        <v>2876123.727376</v>
      </c>
      <c r="N33" s="12">
        <f t="shared" si="12"/>
        <v>3345056.943796</v>
      </c>
      <c r="O33" s="12">
        <f t="shared" si="12"/>
        <v>3813990.1602159999</v>
      </c>
      <c r="P33" s="12">
        <f t="shared" si="12"/>
        <v>4282923.3766360004</v>
      </c>
      <c r="Q33" s="12">
        <f t="shared" si="12"/>
        <v>4751856.5930560008</v>
      </c>
      <c r="R33" s="12">
        <f t="shared" si="12"/>
        <v>5220789.8094760012</v>
      </c>
      <c r="S33" s="12">
        <f t="shared" si="12"/>
        <v>5689723.0258960016</v>
      </c>
      <c r="T33" s="12">
        <f t="shared" si="12"/>
        <v>6158656.242316002</v>
      </c>
      <c r="U33" s="12">
        <f t="shared" si="12"/>
        <v>6627589.4587360024</v>
      </c>
      <c r="V33" s="12">
        <f t="shared" si="12"/>
        <v>7096522.6751560029</v>
      </c>
      <c r="W33" s="12">
        <f t="shared" si="12"/>
        <v>7565455.8915760024</v>
      </c>
      <c r="X33" s="12">
        <f t="shared" si="12"/>
        <v>8034389.1079960037</v>
      </c>
      <c r="Y33" s="12">
        <f t="shared" si="12"/>
        <v>8503322.3244160041</v>
      </c>
      <c r="Z33" s="12">
        <f t="shared" si="12"/>
        <v>8972255.5408360027</v>
      </c>
      <c r="AA33" s="12">
        <f t="shared" si="12"/>
        <v>9441188.7572560031</v>
      </c>
      <c r="AB33" s="12">
        <f t="shared" si="12"/>
        <v>9910121.9736760054</v>
      </c>
      <c r="AC33" s="12">
        <f t="shared" si="12"/>
        <v>10379055.190096006</v>
      </c>
      <c r="AD33" s="12">
        <f t="shared" si="12"/>
        <v>10847988.406516004</v>
      </c>
      <c r="AE33" s="12">
        <f t="shared" si="12"/>
        <v>11316921.622936007</v>
      </c>
      <c r="AF33" s="12">
        <f t="shared" si="12"/>
        <v>11785854.839356009</v>
      </c>
      <c r="AG33" s="12">
        <f t="shared" si="12"/>
        <v>12254788.055776007</v>
      </c>
      <c r="AH33" s="12">
        <f t="shared" ref="AH33" si="13">SUM(AH30:AH32)</f>
        <v>12723721.272196008</v>
      </c>
    </row>
    <row r="35" spans="2:34" x14ac:dyDescent="0.2">
      <c r="C35" s="1" t="s">
        <v>290</v>
      </c>
    </row>
    <row r="36" spans="2:34" x14ac:dyDescent="0.2">
      <c r="D36" s="4" t="s">
        <v>287</v>
      </c>
      <c r="E36" s="4" t="s">
        <v>140</v>
      </c>
      <c r="I36" s="12">
        <f t="shared" ref="I36:AG36" si="14">I21</f>
        <v>578539.284032</v>
      </c>
      <c r="J36" s="12">
        <f t="shared" si="14"/>
        <v>1816318.27</v>
      </c>
      <c r="K36" s="12">
        <f t="shared" si="14"/>
        <v>2906109.2319999998</v>
      </c>
      <c r="L36" s="12">
        <f t="shared" si="14"/>
        <v>3632636.54</v>
      </c>
      <c r="M36" s="12">
        <f t="shared" si="14"/>
        <v>14530546.16</v>
      </c>
      <c r="N36" s="12">
        <f t="shared" si="14"/>
        <v>19979500.970000003</v>
      </c>
      <c r="O36" s="12">
        <f t="shared" si="14"/>
        <v>22885610.202</v>
      </c>
      <c r="P36" s="12">
        <f t="shared" si="14"/>
        <v>24157032.991</v>
      </c>
      <c r="Q36" s="12">
        <f t="shared" si="14"/>
        <v>25428455.780000001</v>
      </c>
      <c r="R36" s="12">
        <f t="shared" si="14"/>
        <v>26699878.569000002</v>
      </c>
      <c r="S36" s="12">
        <f t="shared" si="14"/>
        <v>27971301.358000003</v>
      </c>
      <c r="T36" s="12">
        <f t="shared" si="14"/>
        <v>29061092.32</v>
      </c>
      <c r="U36" s="12">
        <f t="shared" si="14"/>
        <v>29061092.32</v>
      </c>
      <c r="V36" s="12">
        <f t="shared" si="14"/>
        <v>29061092.32</v>
      </c>
      <c r="W36" s="12">
        <f t="shared" si="14"/>
        <v>29061092.32</v>
      </c>
      <c r="X36" s="12">
        <f t="shared" si="14"/>
        <v>29061092.32</v>
      </c>
      <c r="Y36" s="12">
        <f t="shared" si="14"/>
        <v>29061092.32</v>
      </c>
      <c r="Z36" s="12">
        <f t="shared" si="14"/>
        <v>29061092.32</v>
      </c>
      <c r="AA36" s="12">
        <f t="shared" si="14"/>
        <v>29061092.32</v>
      </c>
      <c r="AB36" s="12">
        <f t="shared" si="14"/>
        <v>29061092.32</v>
      </c>
      <c r="AC36" s="12">
        <f t="shared" si="14"/>
        <v>29061092.32</v>
      </c>
      <c r="AD36" s="12">
        <f t="shared" si="14"/>
        <v>29061092.32</v>
      </c>
      <c r="AE36" s="12">
        <f t="shared" si="14"/>
        <v>29061092.32</v>
      </c>
      <c r="AF36" s="12">
        <f t="shared" si="14"/>
        <v>29061092.32</v>
      </c>
      <c r="AG36" s="12">
        <f t="shared" si="14"/>
        <v>29061092.32</v>
      </c>
      <c r="AH36" s="12">
        <f t="shared" ref="AH36" si="15">AH21</f>
        <v>29061092.32</v>
      </c>
    </row>
    <row r="37" spans="2:34" x14ac:dyDescent="0.2">
      <c r="D37" s="4" t="s">
        <v>288</v>
      </c>
      <c r="E37" s="4" t="s">
        <v>140</v>
      </c>
      <c r="I37" s="12">
        <f t="shared" ref="I37:AG37" si="16">I22</f>
        <v>421851.57766400004</v>
      </c>
      <c r="J37" s="12">
        <f t="shared" si="16"/>
        <v>1324398.79</v>
      </c>
      <c r="K37" s="12">
        <f t="shared" si="16"/>
        <v>2119038.0640000002</v>
      </c>
      <c r="L37" s="12">
        <f t="shared" si="16"/>
        <v>2648797.58</v>
      </c>
      <c r="M37" s="12">
        <f t="shared" si="16"/>
        <v>10595190.32</v>
      </c>
      <c r="N37" s="12">
        <f t="shared" si="16"/>
        <v>14568386.690000001</v>
      </c>
      <c r="O37" s="12">
        <f t="shared" si="16"/>
        <v>16687424.754000001</v>
      </c>
      <c r="P37" s="12">
        <f t="shared" si="16"/>
        <v>17614503.907000002</v>
      </c>
      <c r="Q37" s="12">
        <f t="shared" si="16"/>
        <v>18541583.060000002</v>
      </c>
      <c r="R37" s="12">
        <f t="shared" si="16"/>
        <v>19468662.213000003</v>
      </c>
      <c r="S37" s="12">
        <f t="shared" si="16"/>
        <v>20395741.366000004</v>
      </c>
      <c r="T37" s="12">
        <f t="shared" si="16"/>
        <v>21190380.640000001</v>
      </c>
      <c r="U37" s="12">
        <f t="shared" si="16"/>
        <v>21190380.640000001</v>
      </c>
      <c r="V37" s="12">
        <f t="shared" si="16"/>
        <v>21190380.640000001</v>
      </c>
      <c r="W37" s="12">
        <f t="shared" si="16"/>
        <v>21190380.640000001</v>
      </c>
      <c r="X37" s="12">
        <f t="shared" si="16"/>
        <v>21190380.640000001</v>
      </c>
      <c r="Y37" s="12">
        <f t="shared" si="16"/>
        <v>21190380.640000001</v>
      </c>
      <c r="Z37" s="12">
        <f t="shared" si="16"/>
        <v>21190380.640000001</v>
      </c>
      <c r="AA37" s="12">
        <f t="shared" si="16"/>
        <v>21190380.640000001</v>
      </c>
      <c r="AB37" s="12">
        <f t="shared" si="16"/>
        <v>21190380.640000001</v>
      </c>
      <c r="AC37" s="12">
        <f t="shared" si="16"/>
        <v>21190380.640000001</v>
      </c>
      <c r="AD37" s="12">
        <f t="shared" si="16"/>
        <v>21190380.640000001</v>
      </c>
      <c r="AE37" s="12">
        <f t="shared" si="16"/>
        <v>21190380.640000001</v>
      </c>
      <c r="AF37" s="12">
        <f t="shared" si="16"/>
        <v>21190380.640000001</v>
      </c>
      <c r="AG37" s="12">
        <f t="shared" si="16"/>
        <v>21190380.640000001</v>
      </c>
      <c r="AH37" s="12">
        <f t="shared" ref="AH37" si="17">AH22</f>
        <v>21190380.640000001</v>
      </c>
    </row>
    <row r="38" spans="2:34" x14ac:dyDescent="0.2">
      <c r="D38" s="4"/>
      <c r="E38" s="4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2:34" x14ac:dyDescent="0.2">
      <c r="D39" s="4" t="s">
        <v>289</v>
      </c>
      <c r="E39" s="4" t="s">
        <v>140</v>
      </c>
      <c r="I39" s="12">
        <f t="shared" ref="I39:AG39" si="18">SUM(I36:I38)</f>
        <v>1000390.861696</v>
      </c>
      <c r="J39" s="12">
        <f t="shared" si="18"/>
        <v>3140717.06</v>
      </c>
      <c r="K39" s="12">
        <f t="shared" si="18"/>
        <v>5025147.2960000001</v>
      </c>
      <c r="L39" s="12">
        <f t="shared" si="18"/>
        <v>6281434.1200000001</v>
      </c>
      <c r="M39" s="12">
        <f t="shared" si="18"/>
        <v>25125736.48</v>
      </c>
      <c r="N39" s="12">
        <f t="shared" si="18"/>
        <v>34547887.660000004</v>
      </c>
      <c r="O39" s="12">
        <f t="shared" si="18"/>
        <v>39573034.956</v>
      </c>
      <c r="P39" s="12">
        <f t="shared" si="18"/>
        <v>41771536.898000002</v>
      </c>
      <c r="Q39" s="12">
        <f t="shared" si="18"/>
        <v>43970038.840000004</v>
      </c>
      <c r="R39" s="12">
        <f t="shared" si="18"/>
        <v>46168540.782000005</v>
      </c>
      <c r="S39" s="12">
        <f t="shared" si="18"/>
        <v>48367042.724000007</v>
      </c>
      <c r="T39" s="12">
        <f t="shared" si="18"/>
        <v>50251472.960000001</v>
      </c>
      <c r="U39" s="12">
        <f t="shared" si="18"/>
        <v>50251472.960000001</v>
      </c>
      <c r="V39" s="12">
        <f t="shared" si="18"/>
        <v>50251472.960000001</v>
      </c>
      <c r="W39" s="12">
        <f t="shared" si="18"/>
        <v>50251472.960000001</v>
      </c>
      <c r="X39" s="12">
        <f t="shared" si="18"/>
        <v>50251472.960000001</v>
      </c>
      <c r="Y39" s="12">
        <f t="shared" si="18"/>
        <v>50251472.960000001</v>
      </c>
      <c r="Z39" s="12">
        <f t="shared" si="18"/>
        <v>50251472.960000001</v>
      </c>
      <c r="AA39" s="12">
        <f t="shared" si="18"/>
        <v>50251472.960000001</v>
      </c>
      <c r="AB39" s="12">
        <f t="shared" si="18"/>
        <v>50251472.960000001</v>
      </c>
      <c r="AC39" s="12">
        <f t="shared" si="18"/>
        <v>50251472.960000001</v>
      </c>
      <c r="AD39" s="12">
        <f t="shared" si="18"/>
        <v>50251472.960000001</v>
      </c>
      <c r="AE39" s="12">
        <f t="shared" si="18"/>
        <v>50251472.960000001</v>
      </c>
      <c r="AF39" s="12">
        <f t="shared" si="18"/>
        <v>50251472.960000001</v>
      </c>
      <c r="AG39" s="12">
        <f t="shared" si="18"/>
        <v>50251472.960000001</v>
      </c>
      <c r="AH39" s="12">
        <f t="shared" ref="AH39" si="19">SUM(AH36:AH38)</f>
        <v>50251472.960000001</v>
      </c>
    </row>
    <row r="40" spans="2:34" x14ac:dyDescent="0.2">
      <c r="B40" s="1"/>
    </row>
    <row r="41" spans="2:34" x14ac:dyDescent="0.2">
      <c r="C41" s="1" t="s">
        <v>291</v>
      </c>
      <c r="G41" t="s">
        <v>306</v>
      </c>
    </row>
    <row r="42" spans="2:34" x14ac:dyDescent="0.2">
      <c r="D42" s="4" t="s">
        <v>289</v>
      </c>
      <c r="E42" s="4" t="s">
        <v>140</v>
      </c>
      <c r="G42" s="12">
        <f>SUM(I42:AH42)</f>
        <v>871199233.89819837</v>
      </c>
      <c r="I42" s="12">
        <f t="shared" ref="I42:AG42" si="20">I39-I33</f>
        <v>0</v>
      </c>
      <c r="J42" s="12">
        <f>J39-J33</f>
        <v>1671392.9818840001</v>
      </c>
      <c r="K42" s="12">
        <f t="shared" si="20"/>
        <v>3474541.4603712</v>
      </c>
      <c r="L42" s="12">
        <f t="shared" si="20"/>
        <v>4355681.7112352001</v>
      </c>
      <c r="M42" s="12">
        <f t="shared" si="20"/>
        <v>22249612.752624001</v>
      </c>
      <c r="N42" s="12">
        <f t="shared" si="20"/>
        <v>31202830.716204002</v>
      </c>
      <c r="O42" s="12">
        <f t="shared" si="20"/>
        <v>35759044.795783997</v>
      </c>
      <c r="P42" s="12">
        <f t="shared" si="20"/>
        <v>37488613.521364003</v>
      </c>
      <c r="Q42" s="12">
        <f t="shared" si="20"/>
        <v>39218182.246944003</v>
      </c>
      <c r="R42" s="12">
        <f t="shared" si="20"/>
        <v>40947750.972524002</v>
      </c>
      <c r="S42" s="12">
        <f t="shared" si="20"/>
        <v>42677319.698104009</v>
      </c>
      <c r="T42" s="12">
        <f t="shared" si="20"/>
        <v>44092816.717684001</v>
      </c>
      <c r="U42" s="12">
        <f t="shared" si="20"/>
        <v>43623883.501263998</v>
      </c>
      <c r="V42" s="12">
        <f t="shared" si="20"/>
        <v>43154950.284843996</v>
      </c>
      <c r="W42" s="12">
        <f t="shared" si="20"/>
        <v>42686017.068424001</v>
      </c>
      <c r="X42" s="12">
        <f t="shared" si="20"/>
        <v>42217083.852003999</v>
      </c>
      <c r="Y42" s="12">
        <f t="shared" si="20"/>
        <v>41748150.635583997</v>
      </c>
      <c r="Z42" s="12">
        <f t="shared" si="20"/>
        <v>41279217.419164002</v>
      </c>
      <c r="AA42" s="12">
        <f t="shared" si="20"/>
        <v>40810284.202744</v>
      </c>
      <c r="AB42" s="12">
        <f t="shared" si="20"/>
        <v>40341350.986323997</v>
      </c>
      <c r="AC42" s="12">
        <f t="shared" si="20"/>
        <v>39872417.769903995</v>
      </c>
      <c r="AD42" s="12">
        <f t="shared" si="20"/>
        <v>39403484.553483993</v>
      </c>
      <c r="AE42" s="12">
        <f t="shared" si="20"/>
        <v>38934551.337063998</v>
      </c>
      <c r="AF42" s="12">
        <f t="shared" si="20"/>
        <v>38465618.120643988</v>
      </c>
      <c r="AG42" s="12">
        <f t="shared" si="20"/>
        <v>37996684.904223993</v>
      </c>
      <c r="AH42" s="12">
        <f t="shared" ref="AH42" si="21">AH39-AH33</f>
        <v>37527751.687803991</v>
      </c>
    </row>
    <row r="43" spans="2:34" x14ac:dyDescent="0.2">
      <c r="D43" s="4" t="s">
        <v>292</v>
      </c>
      <c r="E43" s="4" t="s">
        <v>293</v>
      </c>
      <c r="F43" t="s">
        <v>303</v>
      </c>
      <c r="G43" s="25">
        <f>SUM(I43:AH43)</f>
        <v>1473197904.5218534</v>
      </c>
      <c r="J43" s="25">
        <f t="shared" ref="J43:AG43" si="22">J42*truckcostpermile</f>
        <v>2826325.5323658441</v>
      </c>
      <c r="K43" s="25">
        <f t="shared" si="22"/>
        <v>5875449.6094876993</v>
      </c>
      <c r="L43" s="25">
        <f t="shared" si="22"/>
        <v>7365457.7736987239</v>
      </c>
      <c r="M43" s="25">
        <f t="shared" si="22"/>
        <v>37624095.164687186</v>
      </c>
      <c r="N43" s="25">
        <f t="shared" si="22"/>
        <v>52763986.741100967</v>
      </c>
      <c r="O43" s="25">
        <f t="shared" si="22"/>
        <v>60468544.749670744</v>
      </c>
      <c r="P43" s="25">
        <f t="shared" si="22"/>
        <v>63393245.464626528</v>
      </c>
      <c r="Q43" s="25">
        <f t="shared" si="22"/>
        <v>66317946.179582313</v>
      </c>
      <c r="R43" s="25">
        <f t="shared" si="22"/>
        <v>69242646.89453809</v>
      </c>
      <c r="S43" s="25">
        <f t="shared" si="22"/>
        <v>72167347.609493881</v>
      </c>
      <c r="T43" s="25">
        <f t="shared" si="22"/>
        <v>74560953.069603652</v>
      </c>
      <c r="U43" s="25">
        <f t="shared" si="22"/>
        <v>73767987.000637427</v>
      </c>
      <c r="V43" s="25">
        <f t="shared" si="22"/>
        <v>72975020.931671202</v>
      </c>
      <c r="W43" s="25">
        <f t="shared" si="22"/>
        <v>72182054.862704992</v>
      </c>
      <c r="X43" s="25">
        <f t="shared" si="22"/>
        <v>71389088.793738768</v>
      </c>
      <c r="Y43" s="25">
        <f t="shared" si="22"/>
        <v>70596122.724772543</v>
      </c>
      <c r="Z43" s="25">
        <f t="shared" si="22"/>
        <v>69803156.655806333</v>
      </c>
      <c r="AA43" s="25">
        <f t="shared" si="22"/>
        <v>69010190.586840108</v>
      </c>
      <c r="AB43" s="25">
        <f t="shared" si="22"/>
        <v>68217224.517873883</v>
      </c>
      <c r="AC43" s="25">
        <f t="shared" si="22"/>
        <v>67424258.448907658</v>
      </c>
      <c r="AD43" s="25">
        <f t="shared" si="22"/>
        <v>66631292.379941434</v>
      </c>
      <c r="AE43" s="25">
        <f t="shared" si="22"/>
        <v>65838326.310975224</v>
      </c>
      <c r="AF43" s="25">
        <f t="shared" si="22"/>
        <v>65045360.242008984</v>
      </c>
      <c r="AG43" s="25">
        <f t="shared" si="22"/>
        <v>64252394.173042774</v>
      </c>
      <c r="AH43" s="25">
        <f t="shared" ref="AH43" si="23">AH42*truckcostpermile</f>
        <v>63459428.104076549</v>
      </c>
    </row>
    <row r="44" spans="2:34" s="45" customFormat="1" x14ac:dyDescent="0.2">
      <c r="D44" s="46" t="s">
        <v>305</v>
      </c>
      <c r="F44" s="45" t="s">
        <v>307</v>
      </c>
      <c r="G44" s="62">
        <f>SUM(I44:AH44)</f>
        <v>638686425.09215093</v>
      </c>
      <c r="I44" s="47">
        <f>I43/'1_MODEL_assumptions'!I$36</f>
        <v>0</v>
      </c>
      <c r="J44" s="48">
        <f>J43/'1_MODEL_assumptions'!J$36</f>
        <v>2826325.5323658441</v>
      </c>
      <c r="K44" s="48">
        <f>K43/'1_MODEL_assumptions'!K$36</f>
        <v>5491074.4013903728</v>
      </c>
      <c r="L44" s="48">
        <f>L43/'1_MODEL_assumptions'!L$36</f>
        <v>6433276.0710094534</v>
      </c>
      <c r="M44" s="48">
        <f>M43/'1_MODEL_assumptions'!M$36</f>
        <v>30712469.002873518</v>
      </c>
      <c r="N44" s="48">
        <f>N43/'1_MODEL_assumptions'!N$36</f>
        <v>40253392.853325032</v>
      </c>
      <c r="O44" s="48">
        <f>O43/'1_MODEL_assumptions'!O$36</f>
        <v>43113236.70000498</v>
      </c>
      <c r="P44" s="48">
        <f>P43/'1_MODEL_assumptions'!P$36</f>
        <v>42241596.157845289</v>
      </c>
      <c r="Q44" s="48">
        <f>Q43/'1_MODEL_assumptions'!Q$36</f>
        <v>41299483.865651093</v>
      </c>
      <c r="R44" s="48">
        <f>R43/'1_MODEL_assumptions'!R$36</f>
        <v>40299850.916803256</v>
      </c>
      <c r="S44" s="48">
        <f>S43/'1_MODEL_assumptions'!S$36</f>
        <v>39254255.477603175</v>
      </c>
      <c r="T44" s="48">
        <f>T43/'1_MODEL_assumptions'!T$36</f>
        <v>37903007.713822931</v>
      </c>
      <c r="U44" s="48">
        <f>U43/'1_MODEL_assumptions'!U$36</f>
        <v>35046639.228015974</v>
      </c>
      <c r="V44" s="48">
        <f>V43/'1_MODEL_assumptions'!V$36</f>
        <v>32401782.019504998</v>
      </c>
      <c r="W44" s="48">
        <f>W43/'1_MODEL_assumptions'!W$36</f>
        <v>29952986.543562509</v>
      </c>
      <c r="X44" s="48">
        <f>X43/'1_MODEL_assumptions'!X$36</f>
        <v>27685919.454728596</v>
      </c>
      <c r="Y44" s="48">
        <f>Y43/'1_MODEL_assumptions'!Y$36</f>
        <v>25587283.683777343</v>
      </c>
      <c r="Z44" s="48">
        <f>Z43/'1_MODEL_assumptions'!Z$36</f>
        <v>23644744.194737472</v>
      </c>
      <c r="AA44" s="48">
        <f>AA43/'1_MODEL_assumptions'!AA$36</f>
        <v>21846859.02084098</v>
      </c>
      <c r="AB44" s="48">
        <f>AB43/'1_MODEL_assumptions'!AB$36</f>
        <v>20183015.206447922</v>
      </c>
      <c r="AC44" s="48">
        <f>AC43/'1_MODEL_assumptions'!AC$36</f>
        <v>18643369.308199465</v>
      </c>
      <c r="AD44" s="48">
        <f>AD43/'1_MODEL_assumptions'!AD$36</f>
        <v>17218792.133023795</v>
      </c>
      <c r="AE44" s="48">
        <f>AE43/'1_MODEL_assumptions'!AE$36</f>
        <v>15900817.413286272</v>
      </c>
      <c r="AF44" s="48">
        <f>AF43/'1_MODEL_assumptions'!AF$36</f>
        <v>14681594.140456652</v>
      </c>
      <c r="AG44" s="48">
        <f>AG43/'1_MODEL_assumptions'!AG$36</f>
        <v>13553842.29827144</v>
      </c>
      <c r="AH44" s="48">
        <f>AH43/'1_MODEL_assumptions'!AH$36</f>
        <v>12510811.754602347</v>
      </c>
    </row>
    <row r="46" spans="2:34" x14ac:dyDescent="0.2">
      <c r="C46" s="1" t="s">
        <v>295</v>
      </c>
    </row>
    <row r="47" spans="2:34" x14ac:dyDescent="0.2">
      <c r="D47" s="4" t="s">
        <v>296</v>
      </c>
      <c r="E47" s="4" t="s">
        <v>140</v>
      </c>
      <c r="I47" s="12">
        <f t="shared" ref="I47:AG47" si="24">I16</f>
        <v>338180.87513599999</v>
      </c>
      <c r="J47" s="12">
        <f t="shared" si="24"/>
        <v>496703.16035599995</v>
      </c>
      <c r="K47" s="12">
        <f t="shared" si="24"/>
        <v>524180.35646080005</v>
      </c>
      <c r="L47" s="12">
        <f t="shared" si="24"/>
        <v>650998.18463680008</v>
      </c>
      <c r="M47" s="12">
        <f t="shared" si="24"/>
        <v>972270.01601600007</v>
      </c>
      <c r="N47" s="12">
        <f t="shared" si="24"/>
        <v>1130792.3012360001</v>
      </c>
      <c r="O47" s="12">
        <f t="shared" si="24"/>
        <v>1289314.5864560001</v>
      </c>
      <c r="P47" s="12">
        <f t="shared" si="24"/>
        <v>1447836.8716760001</v>
      </c>
      <c r="Q47" s="12">
        <f t="shared" si="24"/>
        <v>1606359.1568960003</v>
      </c>
      <c r="R47" s="12">
        <f t="shared" si="24"/>
        <v>1764881.4421160007</v>
      </c>
      <c r="S47" s="12">
        <f t="shared" si="24"/>
        <v>1923403.7273360002</v>
      </c>
      <c r="T47" s="12">
        <f t="shared" si="24"/>
        <v>2081926.0125560006</v>
      </c>
      <c r="U47" s="12">
        <f t="shared" si="24"/>
        <v>2240448.297776001</v>
      </c>
      <c r="V47" s="12">
        <f t="shared" si="24"/>
        <v>2398970.582996001</v>
      </c>
      <c r="W47" s="12">
        <f t="shared" si="24"/>
        <v>2557492.868216001</v>
      </c>
      <c r="X47" s="12">
        <f t="shared" si="24"/>
        <v>2716015.1534360014</v>
      </c>
      <c r="Y47" s="12">
        <f t="shared" si="24"/>
        <v>2874537.4386560014</v>
      </c>
      <c r="Z47" s="12">
        <f t="shared" si="24"/>
        <v>3033059.7238760013</v>
      </c>
      <c r="AA47" s="12">
        <f t="shared" si="24"/>
        <v>3191582.0090960013</v>
      </c>
      <c r="AB47" s="12">
        <f t="shared" si="24"/>
        <v>3350104.2943160017</v>
      </c>
      <c r="AC47" s="12">
        <f t="shared" si="24"/>
        <v>3508626.5795360021</v>
      </c>
      <c r="AD47" s="12">
        <f t="shared" si="24"/>
        <v>3667148.8647560021</v>
      </c>
      <c r="AE47" s="12">
        <f t="shared" si="24"/>
        <v>3825671.1499760021</v>
      </c>
      <c r="AF47" s="12">
        <f t="shared" si="24"/>
        <v>3984193.435196002</v>
      </c>
      <c r="AG47" s="12">
        <f t="shared" si="24"/>
        <v>4142715.720416002</v>
      </c>
      <c r="AH47" s="12">
        <f t="shared" ref="AH47" si="25">AH16</f>
        <v>4301238.0056360029</v>
      </c>
    </row>
    <row r="48" spans="2:34" x14ac:dyDescent="0.2">
      <c r="D48" s="4" t="s">
        <v>297</v>
      </c>
      <c r="E48" s="4" t="s">
        <v>140</v>
      </c>
      <c r="I48" s="12">
        <f t="shared" ref="I48:AG48" si="26">I17</f>
        <v>246590.20937599998</v>
      </c>
      <c r="J48" s="12">
        <f t="shared" si="26"/>
        <v>362179.37002099998</v>
      </c>
      <c r="K48" s="12">
        <f t="shared" si="26"/>
        <v>382214.8245328</v>
      </c>
      <c r="L48" s="12">
        <f t="shared" si="26"/>
        <v>474686.15304880007</v>
      </c>
      <c r="M48" s="12">
        <f t="shared" si="26"/>
        <v>708946.85195599997</v>
      </c>
      <c r="N48" s="12">
        <f t="shared" si="26"/>
        <v>824536.01260099991</v>
      </c>
      <c r="O48" s="12">
        <f t="shared" si="26"/>
        <v>940125.17324600008</v>
      </c>
      <c r="P48" s="12">
        <f t="shared" si="26"/>
        <v>1055714.3338910001</v>
      </c>
      <c r="Q48" s="12">
        <f t="shared" si="26"/>
        <v>1171303.4945360001</v>
      </c>
      <c r="R48" s="12">
        <f t="shared" si="26"/>
        <v>1286892.6551810002</v>
      </c>
      <c r="S48" s="12">
        <f t="shared" si="26"/>
        <v>1402481.8158260002</v>
      </c>
      <c r="T48" s="12">
        <f t="shared" si="26"/>
        <v>1518070.9764710004</v>
      </c>
      <c r="U48" s="12">
        <f t="shared" si="26"/>
        <v>1633660.1371160005</v>
      </c>
      <c r="V48" s="12">
        <f t="shared" si="26"/>
        <v>1749249.2977610007</v>
      </c>
      <c r="W48" s="12">
        <f t="shared" si="26"/>
        <v>1864838.4584060006</v>
      </c>
      <c r="X48" s="12">
        <f t="shared" si="26"/>
        <v>1980427.619051001</v>
      </c>
      <c r="Y48" s="12">
        <f t="shared" si="26"/>
        <v>2096016.779696001</v>
      </c>
      <c r="Z48" s="12">
        <f t="shared" si="26"/>
        <v>2211605.9403410009</v>
      </c>
      <c r="AA48" s="12">
        <f t="shared" si="26"/>
        <v>2327195.1009860011</v>
      </c>
      <c r="AB48" s="12">
        <f t="shared" si="26"/>
        <v>2442784.2616310013</v>
      </c>
      <c r="AC48" s="12">
        <f t="shared" si="26"/>
        <v>2558373.4222760014</v>
      </c>
      <c r="AD48" s="12">
        <f t="shared" si="26"/>
        <v>2673962.5829210011</v>
      </c>
      <c r="AE48" s="12">
        <f t="shared" si="26"/>
        <v>2789551.7435660018</v>
      </c>
      <c r="AF48" s="12">
        <f t="shared" si="26"/>
        <v>2905140.9042110019</v>
      </c>
      <c r="AG48" s="12">
        <f t="shared" si="26"/>
        <v>3020730.0648560016</v>
      </c>
      <c r="AH48" s="12">
        <f t="shared" ref="AH48" si="27">AH17</f>
        <v>3136319.2255010023</v>
      </c>
    </row>
    <row r="49" spans="2:34" x14ac:dyDescent="0.2">
      <c r="D49" s="4" t="s">
        <v>298</v>
      </c>
      <c r="E49" s="4" t="s">
        <v>140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2:34" x14ac:dyDescent="0.2">
      <c r="D50" s="4" t="s">
        <v>299</v>
      </c>
      <c r="E50" s="4" t="s">
        <v>140</v>
      </c>
      <c r="I50" s="12">
        <f t="shared" ref="I50:AG50" si="28">SUM(I47:I49)</f>
        <v>584771.08451199997</v>
      </c>
      <c r="J50" s="12">
        <f t="shared" si="28"/>
        <v>858882.53037699987</v>
      </c>
      <c r="K50" s="12">
        <f t="shared" si="28"/>
        <v>906395.18099360005</v>
      </c>
      <c r="L50" s="12">
        <f t="shared" si="28"/>
        <v>1125684.3376856002</v>
      </c>
      <c r="M50" s="12">
        <f t="shared" si="28"/>
        <v>1681216.867972</v>
      </c>
      <c r="N50" s="12">
        <f t="shared" si="28"/>
        <v>1955328.3138370002</v>
      </c>
      <c r="O50" s="12">
        <f t="shared" si="28"/>
        <v>2229439.7597020003</v>
      </c>
      <c r="P50" s="12">
        <f t="shared" si="28"/>
        <v>2503551.2055670004</v>
      </c>
      <c r="Q50" s="12">
        <f t="shared" si="28"/>
        <v>2777662.6514320001</v>
      </c>
      <c r="R50" s="12">
        <f t="shared" si="28"/>
        <v>3051774.0972970007</v>
      </c>
      <c r="S50" s="12">
        <f t="shared" si="28"/>
        <v>3325885.5431620004</v>
      </c>
      <c r="T50" s="12">
        <f t="shared" si="28"/>
        <v>3599996.989027001</v>
      </c>
      <c r="U50" s="12">
        <f t="shared" si="28"/>
        <v>3874108.4348920016</v>
      </c>
      <c r="V50" s="12">
        <f t="shared" si="28"/>
        <v>4148219.8807570017</v>
      </c>
      <c r="W50" s="12">
        <f t="shared" si="28"/>
        <v>4422331.3266220018</v>
      </c>
      <c r="X50" s="12">
        <f t="shared" si="28"/>
        <v>4696442.7724870024</v>
      </c>
      <c r="Y50" s="12">
        <f t="shared" si="28"/>
        <v>4970554.2183520021</v>
      </c>
      <c r="Z50" s="12">
        <f t="shared" si="28"/>
        <v>5244665.6642170027</v>
      </c>
      <c r="AA50" s="12">
        <f t="shared" si="28"/>
        <v>5518777.1100820024</v>
      </c>
      <c r="AB50" s="12">
        <f t="shared" si="28"/>
        <v>5792888.555947003</v>
      </c>
      <c r="AC50" s="12">
        <f t="shared" si="28"/>
        <v>6067000.0018120036</v>
      </c>
      <c r="AD50" s="12">
        <f t="shared" si="28"/>
        <v>6341111.4476770032</v>
      </c>
      <c r="AE50" s="12">
        <f t="shared" si="28"/>
        <v>6615222.8935420038</v>
      </c>
      <c r="AF50" s="12">
        <f t="shared" si="28"/>
        <v>6889334.3394070044</v>
      </c>
      <c r="AG50" s="12">
        <f t="shared" si="28"/>
        <v>7163445.7852720041</v>
      </c>
      <c r="AH50" s="12">
        <f t="shared" ref="AH50" si="29">SUM(AH47:AH49)</f>
        <v>7437557.2311370056</v>
      </c>
    </row>
    <row r="52" spans="2:34" x14ac:dyDescent="0.2">
      <c r="C52" s="1" t="s">
        <v>300</v>
      </c>
    </row>
    <row r="53" spans="2:34" x14ac:dyDescent="0.2">
      <c r="D53" s="4" t="s">
        <v>296</v>
      </c>
      <c r="E53" s="4" t="s">
        <v>140</v>
      </c>
      <c r="I53" s="12">
        <f t="shared" ref="I53:AG53" si="30">I24</f>
        <v>338180.87513599999</v>
      </c>
      <c r="J53" s="12">
        <f t="shared" si="30"/>
        <v>1061715.46</v>
      </c>
      <c r="K53" s="12">
        <f t="shared" si="30"/>
        <v>1698744.736</v>
      </c>
      <c r="L53" s="12">
        <f t="shared" si="30"/>
        <v>2123430.92</v>
      </c>
      <c r="M53" s="12">
        <f t="shared" si="30"/>
        <v>8493723.6799999997</v>
      </c>
      <c r="N53" s="12">
        <f t="shared" si="30"/>
        <v>11678870.060000001</v>
      </c>
      <c r="O53" s="12">
        <f t="shared" si="30"/>
        <v>13377614.796</v>
      </c>
      <c r="P53" s="12">
        <f t="shared" si="30"/>
        <v>14120815.618000001</v>
      </c>
      <c r="Q53" s="12">
        <f t="shared" si="30"/>
        <v>14864016.440000001</v>
      </c>
      <c r="R53" s="12">
        <f t="shared" si="30"/>
        <v>15607217.262000002</v>
      </c>
      <c r="S53" s="12">
        <f t="shared" si="30"/>
        <v>16350418.084000003</v>
      </c>
      <c r="T53" s="12">
        <f t="shared" si="30"/>
        <v>16987447.359999999</v>
      </c>
      <c r="U53" s="12">
        <f t="shared" si="30"/>
        <v>16987447.359999999</v>
      </c>
      <c r="V53" s="12">
        <f t="shared" si="30"/>
        <v>16987447.359999999</v>
      </c>
      <c r="W53" s="12">
        <f t="shared" si="30"/>
        <v>16987447.359999999</v>
      </c>
      <c r="X53" s="12">
        <f t="shared" si="30"/>
        <v>16987447.359999999</v>
      </c>
      <c r="Y53" s="12">
        <f t="shared" si="30"/>
        <v>16987447.359999999</v>
      </c>
      <c r="Z53" s="12">
        <f t="shared" si="30"/>
        <v>16987447.359999999</v>
      </c>
      <c r="AA53" s="12">
        <f t="shared" si="30"/>
        <v>16987447.359999999</v>
      </c>
      <c r="AB53" s="12">
        <f t="shared" si="30"/>
        <v>16987447.359999999</v>
      </c>
      <c r="AC53" s="12">
        <f t="shared" si="30"/>
        <v>16987447.359999999</v>
      </c>
      <c r="AD53" s="12">
        <f t="shared" si="30"/>
        <v>16987447.359999999</v>
      </c>
      <c r="AE53" s="12">
        <f t="shared" si="30"/>
        <v>16987447.359999999</v>
      </c>
      <c r="AF53" s="12">
        <f t="shared" si="30"/>
        <v>16987447.359999999</v>
      </c>
      <c r="AG53" s="12">
        <f t="shared" si="30"/>
        <v>16987447.359999999</v>
      </c>
      <c r="AH53" s="12">
        <f t="shared" ref="AH53" si="31">AH24</f>
        <v>16987447.359999999</v>
      </c>
    </row>
    <row r="54" spans="2:34" x14ac:dyDescent="0.2">
      <c r="D54" s="4" t="s">
        <v>297</v>
      </c>
      <c r="E54" s="4" t="s">
        <v>140</v>
      </c>
      <c r="I54" s="12">
        <f t="shared" ref="I54:AG54" si="32">I25</f>
        <v>246590.20937599998</v>
      </c>
      <c r="J54" s="12">
        <f t="shared" si="32"/>
        <v>774167.48499999999</v>
      </c>
      <c r="K54" s="12">
        <f t="shared" si="32"/>
        <v>1238667.976</v>
      </c>
      <c r="L54" s="12">
        <f t="shared" si="32"/>
        <v>1548334.97</v>
      </c>
      <c r="M54" s="12">
        <f t="shared" si="32"/>
        <v>6193339.8799999999</v>
      </c>
      <c r="N54" s="12">
        <f t="shared" si="32"/>
        <v>8515842.3350000009</v>
      </c>
      <c r="O54" s="12">
        <f t="shared" si="32"/>
        <v>9754510.3109999988</v>
      </c>
      <c r="P54" s="12">
        <f t="shared" si="32"/>
        <v>10296427.5505</v>
      </c>
      <c r="Q54" s="12">
        <f t="shared" si="32"/>
        <v>10838344.790000001</v>
      </c>
      <c r="R54" s="12">
        <f t="shared" si="32"/>
        <v>11380262.0295</v>
      </c>
      <c r="S54" s="12">
        <f t="shared" si="32"/>
        <v>11922179.269000001</v>
      </c>
      <c r="T54" s="12">
        <f t="shared" si="32"/>
        <v>12386679.76</v>
      </c>
      <c r="U54" s="12">
        <f t="shared" si="32"/>
        <v>12386679.76</v>
      </c>
      <c r="V54" s="12">
        <f t="shared" si="32"/>
        <v>12386679.76</v>
      </c>
      <c r="W54" s="12">
        <f t="shared" si="32"/>
        <v>12386679.76</v>
      </c>
      <c r="X54" s="12">
        <f t="shared" si="32"/>
        <v>12386679.76</v>
      </c>
      <c r="Y54" s="12">
        <f t="shared" si="32"/>
        <v>12386679.76</v>
      </c>
      <c r="Z54" s="12">
        <f t="shared" si="32"/>
        <v>12386679.76</v>
      </c>
      <c r="AA54" s="12">
        <f t="shared" si="32"/>
        <v>12386679.76</v>
      </c>
      <c r="AB54" s="12">
        <f t="shared" si="32"/>
        <v>12386679.76</v>
      </c>
      <c r="AC54" s="12">
        <f t="shared" si="32"/>
        <v>12386679.76</v>
      </c>
      <c r="AD54" s="12">
        <f t="shared" si="32"/>
        <v>12386679.76</v>
      </c>
      <c r="AE54" s="12">
        <f t="shared" si="32"/>
        <v>12386679.76</v>
      </c>
      <c r="AF54" s="12">
        <f t="shared" si="32"/>
        <v>12386679.76</v>
      </c>
      <c r="AG54" s="12">
        <f t="shared" si="32"/>
        <v>12386679.76</v>
      </c>
      <c r="AH54" s="12">
        <f t="shared" ref="AH54" si="33">AH25</f>
        <v>12386679.76</v>
      </c>
    </row>
    <row r="55" spans="2:34" x14ac:dyDescent="0.2">
      <c r="D55" s="4" t="s">
        <v>298</v>
      </c>
      <c r="E55" s="4" t="s">
        <v>140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2:34" x14ac:dyDescent="0.2">
      <c r="D56" s="4" t="s">
        <v>299</v>
      </c>
      <c r="E56" s="4" t="s">
        <v>140</v>
      </c>
      <c r="I56" s="12">
        <f t="shared" ref="I56:AG56" si="34">SUM(I53:I55)</f>
        <v>584771.08451199997</v>
      </c>
      <c r="J56" s="12">
        <f t="shared" si="34"/>
        <v>1835882.9449999998</v>
      </c>
      <c r="K56" s="12">
        <f t="shared" si="34"/>
        <v>2937412.7120000003</v>
      </c>
      <c r="L56" s="12">
        <f t="shared" si="34"/>
        <v>3671765.8899999997</v>
      </c>
      <c r="M56" s="12">
        <f t="shared" si="34"/>
        <v>14687063.559999999</v>
      </c>
      <c r="N56" s="12">
        <f t="shared" si="34"/>
        <v>20194712.395000003</v>
      </c>
      <c r="O56" s="12">
        <f t="shared" si="34"/>
        <v>23132125.107000001</v>
      </c>
      <c r="P56" s="12">
        <f t="shared" si="34"/>
        <v>24417243.168499999</v>
      </c>
      <c r="Q56" s="12">
        <f t="shared" si="34"/>
        <v>25702361.230000004</v>
      </c>
      <c r="R56" s="12">
        <f t="shared" si="34"/>
        <v>26987479.291500002</v>
      </c>
      <c r="S56" s="12">
        <f t="shared" si="34"/>
        <v>28272597.353000004</v>
      </c>
      <c r="T56" s="12">
        <f t="shared" si="34"/>
        <v>29374127.119999997</v>
      </c>
      <c r="U56" s="12">
        <f t="shared" si="34"/>
        <v>29374127.119999997</v>
      </c>
      <c r="V56" s="12">
        <f t="shared" si="34"/>
        <v>29374127.119999997</v>
      </c>
      <c r="W56" s="12">
        <f t="shared" si="34"/>
        <v>29374127.119999997</v>
      </c>
      <c r="X56" s="12">
        <f t="shared" si="34"/>
        <v>29374127.119999997</v>
      </c>
      <c r="Y56" s="12">
        <f t="shared" si="34"/>
        <v>29374127.119999997</v>
      </c>
      <c r="Z56" s="12">
        <f t="shared" si="34"/>
        <v>29374127.119999997</v>
      </c>
      <c r="AA56" s="12">
        <f t="shared" si="34"/>
        <v>29374127.119999997</v>
      </c>
      <c r="AB56" s="12">
        <f t="shared" si="34"/>
        <v>29374127.119999997</v>
      </c>
      <c r="AC56" s="12">
        <f t="shared" si="34"/>
        <v>29374127.119999997</v>
      </c>
      <c r="AD56" s="12">
        <f t="shared" si="34"/>
        <v>29374127.119999997</v>
      </c>
      <c r="AE56" s="12">
        <f t="shared" si="34"/>
        <v>29374127.119999997</v>
      </c>
      <c r="AF56" s="12">
        <f t="shared" si="34"/>
        <v>29374127.119999997</v>
      </c>
      <c r="AG56" s="12">
        <f t="shared" si="34"/>
        <v>29374127.119999997</v>
      </c>
      <c r="AH56" s="12">
        <f t="shared" ref="AH56" si="35">SUM(AH53:AH55)</f>
        <v>29374127.119999997</v>
      </c>
    </row>
    <row r="58" spans="2:34" x14ac:dyDescent="0.2">
      <c r="C58" s="1" t="s">
        <v>301</v>
      </c>
      <c r="G58" t="s">
        <v>306</v>
      </c>
    </row>
    <row r="59" spans="2:34" x14ac:dyDescent="0.2">
      <c r="D59" s="4" t="s">
        <v>299</v>
      </c>
      <c r="E59" s="4" t="s">
        <v>140</v>
      </c>
      <c r="G59" s="12">
        <f>SUM(I59:AH59)</f>
        <v>509253073.31274474</v>
      </c>
      <c r="I59" s="12">
        <f t="shared" ref="I59:AG59" si="36">I56-I50</f>
        <v>0</v>
      </c>
      <c r="J59" s="12">
        <f t="shared" si="36"/>
        <v>977000.41462299996</v>
      </c>
      <c r="K59" s="12">
        <f t="shared" si="36"/>
        <v>2031017.5310064002</v>
      </c>
      <c r="L59" s="12">
        <f t="shared" si="36"/>
        <v>2546081.5523143997</v>
      </c>
      <c r="M59" s="12">
        <f t="shared" si="36"/>
        <v>13005846.692027999</v>
      </c>
      <c r="N59" s="12">
        <f t="shared" si="36"/>
        <v>18239384.081163004</v>
      </c>
      <c r="O59" s="12">
        <f t="shared" si="36"/>
        <v>20902685.347298</v>
      </c>
      <c r="P59" s="12">
        <f t="shared" si="36"/>
        <v>21913691.962932996</v>
      </c>
      <c r="Q59" s="12">
        <f t="shared" si="36"/>
        <v>22924698.578568004</v>
      </c>
      <c r="R59" s="12">
        <f t="shared" si="36"/>
        <v>23935705.194203001</v>
      </c>
      <c r="S59" s="12">
        <f t="shared" si="36"/>
        <v>24946711.809838004</v>
      </c>
      <c r="T59" s="12">
        <f t="shared" si="36"/>
        <v>25774130.130972996</v>
      </c>
      <c r="U59" s="12">
        <f t="shared" si="36"/>
        <v>25500018.685107995</v>
      </c>
      <c r="V59" s="12">
        <f t="shared" si="36"/>
        <v>25225907.239242997</v>
      </c>
      <c r="W59" s="12">
        <f t="shared" si="36"/>
        <v>24951795.793377995</v>
      </c>
      <c r="X59" s="12">
        <f t="shared" si="36"/>
        <v>24677684.347512994</v>
      </c>
      <c r="Y59" s="12">
        <f t="shared" si="36"/>
        <v>24403572.901647996</v>
      </c>
      <c r="Z59" s="12">
        <f t="shared" si="36"/>
        <v>24129461.455782995</v>
      </c>
      <c r="AA59" s="12">
        <f t="shared" si="36"/>
        <v>23855350.009917997</v>
      </c>
      <c r="AB59" s="12">
        <f t="shared" si="36"/>
        <v>23581238.564052995</v>
      </c>
      <c r="AC59" s="12">
        <f t="shared" si="36"/>
        <v>23307127.118187994</v>
      </c>
      <c r="AD59" s="12">
        <f t="shared" si="36"/>
        <v>23033015.672322996</v>
      </c>
      <c r="AE59" s="12">
        <f t="shared" si="36"/>
        <v>22758904.226457994</v>
      </c>
      <c r="AF59" s="12">
        <f t="shared" si="36"/>
        <v>22484792.780592993</v>
      </c>
      <c r="AG59" s="12">
        <f t="shared" si="36"/>
        <v>22210681.334727995</v>
      </c>
      <c r="AH59" s="12">
        <f t="shared" ref="AH59" si="37">AH56-AH50</f>
        <v>21936569.88886299</v>
      </c>
    </row>
    <row r="60" spans="2:34" x14ac:dyDescent="0.2">
      <c r="D60" s="4" t="s">
        <v>359</v>
      </c>
      <c r="E60" s="4" t="s">
        <v>358</v>
      </c>
      <c r="G60" s="12">
        <f>SUM(I60:AH60)</f>
        <v>9166555319.629406</v>
      </c>
      <c r="I60" s="12">
        <f>I59*PARAMS!$C$35</f>
        <v>0</v>
      </c>
      <c r="J60" s="12">
        <f>J59*PARAMS!$C$35</f>
        <v>17586007.463213999</v>
      </c>
      <c r="K60" s="12">
        <f>K59*PARAMS!$C$35</f>
        <v>36558315.558115207</v>
      </c>
      <c r="L60" s="12">
        <f>L59*PARAMS!$C$35</f>
        <v>45829467.941659197</v>
      </c>
      <c r="M60" s="12">
        <f>M59*PARAMS!$C$35</f>
        <v>234105240.45650399</v>
      </c>
      <c r="N60" s="12">
        <f>N59*PARAMS!$C$35</f>
        <v>328308913.46093404</v>
      </c>
      <c r="O60" s="12">
        <f>O59*PARAMS!$C$35</f>
        <v>376248336.25136399</v>
      </c>
      <c r="P60" s="12">
        <f>P59*PARAMS!$C$35</f>
        <v>394446455.33279395</v>
      </c>
      <c r="Q60" s="12">
        <f>Q59*PARAMS!$C$35</f>
        <v>412644574.41422409</v>
      </c>
      <c r="R60" s="12">
        <f>R59*PARAMS!$C$35</f>
        <v>430842693.49565399</v>
      </c>
      <c r="S60" s="12">
        <f>S59*PARAMS!$C$35</f>
        <v>449040812.57708406</v>
      </c>
      <c r="T60" s="12">
        <f>T59*PARAMS!$C$35</f>
        <v>463934342.3575139</v>
      </c>
      <c r="U60" s="12">
        <f>U59*PARAMS!$C$35</f>
        <v>459000336.33194393</v>
      </c>
      <c r="V60" s="12">
        <f>V59*PARAMS!$C$35</f>
        <v>454066330.30637395</v>
      </c>
      <c r="W60" s="12">
        <f>W59*PARAMS!$C$35</f>
        <v>449132324.28080392</v>
      </c>
      <c r="X60" s="12">
        <f>X59*PARAMS!$C$35</f>
        <v>444198318.25523388</v>
      </c>
      <c r="Y60" s="12">
        <f>Y59*PARAMS!$C$35</f>
        <v>439264312.22966391</v>
      </c>
      <c r="Z60" s="12">
        <f>Z59*PARAMS!$C$35</f>
        <v>434330306.20409393</v>
      </c>
      <c r="AA60" s="12">
        <f>AA59*PARAMS!$C$35</f>
        <v>429396300.17852396</v>
      </c>
      <c r="AB60" s="12">
        <f>AB59*PARAMS!$C$35</f>
        <v>424462294.15295392</v>
      </c>
      <c r="AC60" s="12">
        <f>AC59*PARAMS!$C$35</f>
        <v>419528288.12738389</v>
      </c>
      <c r="AD60" s="12">
        <f>AD59*PARAMS!$C$35</f>
        <v>414594282.10181391</v>
      </c>
      <c r="AE60" s="12">
        <f>AE59*PARAMS!$C$35</f>
        <v>409660276.07624388</v>
      </c>
      <c r="AF60" s="12">
        <f>AF59*PARAMS!$C$35</f>
        <v>404726270.05067384</v>
      </c>
      <c r="AG60" s="12">
        <f>AG59*PARAMS!$C$35</f>
        <v>399792264.02510393</v>
      </c>
      <c r="AH60" s="12">
        <f>AH59*PARAMS!$C$35</f>
        <v>394858257.99953383</v>
      </c>
    </row>
    <row r="61" spans="2:34" s="25" customFormat="1" x14ac:dyDescent="0.2">
      <c r="D61" s="51" t="s">
        <v>360</v>
      </c>
      <c r="E61" s="51" t="s">
        <v>171</v>
      </c>
      <c r="G61" s="25">
        <f>SUM(I61:AH61)</f>
        <v>387745290.02032387</v>
      </c>
      <c r="I61" s="25">
        <f t="shared" ref="I61:AH61" si="38">I60*railcostpertonmilenew</f>
        <v>0</v>
      </c>
      <c r="J61" s="25">
        <f t="shared" si="38"/>
        <v>743888.11569395207</v>
      </c>
      <c r="K61" s="25">
        <f t="shared" si="38"/>
        <v>1546416.7481082731</v>
      </c>
      <c r="L61" s="25">
        <f t="shared" si="38"/>
        <v>1938586.4939321838</v>
      </c>
      <c r="M61" s="25">
        <f t="shared" si="38"/>
        <v>9902651.6713101175</v>
      </c>
      <c r="N61" s="25">
        <f t="shared" si="38"/>
        <v>13887467.03939751</v>
      </c>
      <c r="O61" s="25">
        <f t="shared" si="38"/>
        <v>15915304.623432696</v>
      </c>
      <c r="P61" s="25">
        <f t="shared" si="38"/>
        <v>16685085.060577184</v>
      </c>
      <c r="Q61" s="25">
        <f t="shared" si="38"/>
        <v>17454865.49772168</v>
      </c>
      <c r="R61" s="25">
        <f t="shared" si="38"/>
        <v>18224645.934866164</v>
      </c>
      <c r="S61" s="25">
        <f t="shared" si="38"/>
        <v>18994426.372010656</v>
      </c>
      <c r="T61" s="25">
        <f t="shared" si="38"/>
        <v>19624422.681722838</v>
      </c>
      <c r="U61" s="25">
        <f t="shared" si="38"/>
        <v>19415714.226841226</v>
      </c>
      <c r="V61" s="25">
        <f t="shared" si="38"/>
        <v>19207005.771959618</v>
      </c>
      <c r="W61" s="25">
        <f t="shared" si="38"/>
        <v>18998297.317078006</v>
      </c>
      <c r="X61" s="25">
        <f t="shared" si="38"/>
        <v>18789588.862196393</v>
      </c>
      <c r="Y61" s="25">
        <f t="shared" si="38"/>
        <v>18580880.407314781</v>
      </c>
      <c r="Z61" s="25">
        <f t="shared" si="38"/>
        <v>18372171.952433173</v>
      </c>
      <c r="AA61" s="25">
        <f t="shared" si="38"/>
        <v>18163463.49755156</v>
      </c>
      <c r="AB61" s="25">
        <f t="shared" si="38"/>
        <v>17954755.042669948</v>
      </c>
      <c r="AC61" s="25">
        <f t="shared" si="38"/>
        <v>17746046.587788336</v>
      </c>
      <c r="AD61" s="25">
        <f t="shared" si="38"/>
        <v>17537338.132906727</v>
      </c>
      <c r="AE61" s="25">
        <f t="shared" si="38"/>
        <v>17328629.678025115</v>
      </c>
      <c r="AF61" s="25">
        <f t="shared" si="38"/>
        <v>17119921.223143503</v>
      </c>
      <c r="AG61" s="25">
        <f t="shared" si="38"/>
        <v>16911212.768261895</v>
      </c>
      <c r="AH61" s="25">
        <f t="shared" si="38"/>
        <v>16702504.313380281</v>
      </c>
    </row>
    <row r="62" spans="2:34" s="45" customFormat="1" x14ac:dyDescent="0.2">
      <c r="D62" s="46" t="s">
        <v>304</v>
      </c>
      <c r="G62" s="62">
        <f>SUM(I62:AH62)</f>
        <v>168102094.34134188</v>
      </c>
      <c r="I62" s="47">
        <f>I61/'1_MODEL_assumptions'!I$36</f>
        <v>0</v>
      </c>
      <c r="J62" s="48">
        <f>J61/'1_MODEL_assumptions'!J$36</f>
        <v>743888.11569395207</v>
      </c>
      <c r="K62" s="48">
        <f>K61/'1_MODEL_assumptions'!K$36</f>
        <v>1445249.2972974514</v>
      </c>
      <c r="L62" s="48">
        <f>L61/'1_MODEL_assumptions'!L$36</f>
        <v>1693236.5219077507</v>
      </c>
      <c r="M62" s="48">
        <f>M61/'1_MODEL_assumptions'!M$36</f>
        <v>8083513.5348800952</v>
      </c>
      <c r="N62" s="48">
        <f>N61/'1_MODEL_assumptions'!N$36</f>
        <v>10594682.111824181</v>
      </c>
      <c r="O62" s="48">
        <f>O61/'1_MODEL_assumptions'!O$36</f>
        <v>11347392.23878004</v>
      </c>
      <c r="P62" s="48">
        <f>P61/'1_MODEL_assumptions'!P$36</f>
        <v>11117976.683832671</v>
      </c>
      <c r="Q62" s="48">
        <f>Q61/'1_MODEL_assumptions'!Q$36</f>
        <v>10870012.98333643</v>
      </c>
      <c r="R62" s="48">
        <f>R61/'1_MODEL_assumptions'!R$36</f>
        <v>10606909.861566324</v>
      </c>
      <c r="S62" s="48">
        <f>S61/'1_MODEL_assumptions'!S$36</f>
        <v>10331709.424766796</v>
      </c>
      <c r="T62" s="48">
        <f>T61/'1_MODEL_assumptions'!T$36</f>
        <v>9976061.378806306</v>
      </c>
      <c r="U62" s="48">
        <f>U61/'1_MODEL_assumptions'!U$36</f>
        <v>9224265.9658922479</v>
      </c>
      <c r="V62" s="48">
        <f>V61/'1_MODEL_assumptions'!V$36</f>
        <v>8528140.2639559004</v>
      </c>
      <c r="W62" s="48">
        <f>W61/'1_MODEL_assumptions'!W$36</f>
        <v>7883617.9570035599</v>
      </c>
      <c r="X62" s="48">
        <f>X61/'1_MODEL_assumptions'!X$36</f>
        <v>7286926.5123868622</v>
      </c>
      <c r="Y62" s="48">
        <f>Y61/'1_MODEL_assumptions'!Y$36</f>
        <v>6734566.1450819494</v>
      </c>
      <c r="Z62" s="48">
        <f>Z61/'1_MODEL_assumptions'!Z$36</f>
        <v>6223290.2769573871</v>
      </c>
      <c r="AA62" s="48">
        <f>AA61/'1_MODEL_assumptions'!AA$36</f>
        <v>5750087.3854544992</v>
      </c>
      <c r="AB62" s="48">
        <f>AB61/'1_MODEL_assumptions'!AB$36</f>
        <v>5312164.1435192963</v>
      </c>
      <c r="AC62" s="48">
        <f>AC61/'1_MODEL_assumptions'!AC$36</f>
        <v>4906929.7595220488</v>
      </c>
      <c r="AD62" s="48">
        <f>AD61/'1_MODEL_assumptions'!AD$36</f>
        <v>4531981.4323153906</v>
      </c>
      <c r="AE62" s="48">
        <f>AE61/'1_MODEL_assumptions'!AE$36</f>
        <v>4185090.8425477203</v>
      </c>
      <c r="AF62" s="48">
        <f>AF61/'1_MODEL_assumptions'!AF$36</f>
        <v>3864191.6068973108</v>
      </c>
      <c r="AG62" s="48">
        <f>AG61/'1_MODEL_assumptions'!AG$36</f>
        <v>3567367.6270526033</v>
      </c>
      <c r="AH62" s="48">
        <f>AH61/'1_MODEL_assumptions'!AH$36</f>
        <v>3292842.2700631139</v>
      </c>
    </row>
    <row r="63" spans="2:34" x14ac:dyDescent="0.2">
      <c r="D63" s="4"/>
      <c r="E63" s="4"/>
      <c r="G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2:34" x14ac:dyDescent="0.2">
      <c r="B64" s="1" t="s">
        <v>363</v>
      </c>
    </row>
    <row r="65" spans="2:34" x14ac:dyDescent="0.2">
      <c r="B65" s="1"/>
      <c r="C65" s="1" t="s">
        <v>364</v>
      </c>
    </row>
    <row r="66" spans="2:34" x14ac:dyDescent="0.2">
      <c r="D66" t="s">
        <v>313</v>
      </c>
      <c r="E66" t="s">
        <v>140</v>
      </c>
      <c r="I66" s="11">
        <f>(SUM(I21:I23)-SUM(I13:I15))*PARAMS!$C$21</f>
        <v>0</v>
      </c>
      <c r="J66" s="11">
        <f>(SUM(J21:J23)-SUM(J13:J15))*PARAMS!$C$21</f>
        <v>604117.94400900009</v>
      </c>
      <c r="K66" s="11">
        <f>(SUM(K21:K23)-SUM(K13:K15))*PARAMS!$C$21</f>
        <v>1255858.3565712001</v>
      </c>
      <c r="L66" s="11">
        <f>(SUM(L21:L23)-SUM(L13:L15))*PARAMS!$C$21</f>
        <v>1574342.7839352002</v>
      </c>
      <c r="M66" s="11">
        <f>(SUM(M21:M23)-SUM(M13:M15))*PARAMS!$C$21</f>
        <v>8042028.6891240003</v>
      </c>
      <c r="N66" s="11">
        <f>(SUM(N21:N23)-SUM(N13:N15))*PARAMS!$C$21</f>
        <v>11278131.560829001</v>
      </c>
      <c r="O66" s="11">
        <f>(SUM(O21:O23)-SUM(O13:O15))*PARAMS!$C$21</f>
        <v>12924955.923534</v>
      </c>
      <c r="P66" s="11">
        <f>(SUM(P21:P23)-SUM(P13:P15))*PARAMS!$C$21</f>
        <v>13550101.244739</v>
      </c>
      <c r="Q66" s="11">
        <f>(SUM(Q21:Q23)-SUM(Q13:Q15))*PARAMS!$C$21</f>
        <v>14175246.565944001</v>
      </c>
      <c r="R66" s="11">
        <f>(SUM(R21:R23)-SUM(R13:R15))*PARAMS!$C$21</f>
        <v>14800391.887149001</v>
      </c>
      <c r="S66" s="11">
        <f>(SUM(S21:S23)-SUM(S13:S15))*PARAMS!$C$21</f>
        <v>15425537.208354002</v>
      </c>
      <c r="T66" s="11">
        <f>(SUM(T21:T23)-SUM(T13:T15))*PARAMS!$C$21</f>
        <v>15937162.636058999</v>
      </c>
      <c r="U66" s="11">
        <f>(SUM(U21:U23)-SUM(U13:U15))*PARAMS!$C$21</f>
        <v>15767668.702763999</v>
      </c>
      <c r="V66" s="11">
        <f>(SUM(V21:V23)-SUM(V13:V15))*PARAMS!$C$21</f>
        <v>15598174.769469</v>
      </c>
      <c r="W66" s="11">
        <f>(SUM(W21:W23)-SUM(W13:W15))*PARAMS!$C$21</f>
        <v>15428680.836174</v>
      </c>
      <c r="X66" s="11">
        <f>(SUM(X21:X23)-SUM(X13:X15))*PARAMS!$C$21</f>
        <v>15259186.902878998</v>
      </c>
      <c r="Y66" s="11">
        <f>(SUM(Y21:Y23)-SUM(Y13:Y15))*PARAMS!$C$21</f>
        <v>15089692.969583999</v>
      </c>
      <c r="Z66" s="11">
        <f>(SUM(Z21:Z23)-SUM(Z13:Z15))*PARAMS!$C$21</f>
        <v>14920199.036288999</v>
      </c>
      <c r="AA66" s="11">
        <f>(SUM(AA21:AA23)-SUM(AA13:AA15))*PARAMS!$C$21</f>
        <v>14750705.102994001</v>
      </c>
      <c r="AB66" s="11">
        <f>(SUM(AB21:AB23)-SUM(AB13:AB15))*PARAMS!$C$21</f>
        <v>14581211.169698998</v>
      </c>
      <c r="AC66" s="11">
        <f>(SUM(AC21:AC23)-SUM(AC13:AC15))*PARAMS!$C$21</f>
        <v>14411717.236403998</v>
      </c>
      <c r="AD66" s="11">
        <f>(SUM(AD21:AD23)-SUM(AD13:AD15))*PARAMS!$C$21</f>
        <v>14242223.303109</v>
      </c>
      <c r="AE66" s="11">
        <f>(SUM(AE21:AE23)-SUM(AE13:AE15))*PARAMS!$C$21</f>
        <v>14072729.369813999</v>
      </c>
      <c r="AF66" s="11">
        <f>(SUM(AF21:AF23)-SUM(AF13:AF15))*PARAMS!$C$21</f>
        <v>13903235.436518997</v>
      </c>
      <c r="AG66" s="11">
        <f>(SUM(AG21:AG23)-SUM(AG13:AG15))*PARAMS!$C$21</f>
        <v>13733741.503223998</v>
      </c>
      <c r="AH66" s="11">
        <f>(SUM(AH21:AH23)-SUM(AH13:AH15))*PARAMS!$C$21</f>
        <v>13564247.569928998</v>
      </c>
    </row>
    <row r="67" spans="2:34" x14ac:dyDescent="0.2">
      <c r="D67" t="s">
        <v>315</v>
      </c>
      <c r="E67" t="s">
        <v>171</v>
      </c>
      <c r="I67" s="25">
        <f>I66*PARAMS!$J$8</f>
        <v>0</v>
      </c>
      <c r="J67" s="25">
        <f>J66*PARAMS!$J$8</f>
        <v>70085.388129518862</v>
      </c>
      <c r="K67" s="25">
        <f>K66*PARAMS!$J$8</f>
        <v>145695.59012251586</v>
      </c>
      <c r="L67" s="25">
        <f>L66*PARAMS!$J$8</f>
        <v>182643.84654557117</v>
      </c>
      <c r="M67" s="25">
        <f>M66*PARAMS!$J$8</f>
        <v>932977.9186588513</v>
      </c>
      <c r="N67" s="25">
        <f>N66*PARAMS!$J$8</f>
        <v>1308407.1341617045</v>
      </c>
      <c r="O67" s="25">
        <f>O66*PARAMS!$J$8</f>
        <v>1499459.7684790986</v>
      </c>
      <c r="P67" s="25">
        <f>P66*PARAMS!$J$8</f>
        <v>1571984.6006058403</v>
      </c>
      <c r="Q67" s="25">
        <f>Q66*PARAMS!$J$8</f>
        <v>1644509.4327325823</v>
      </c>
      <c r="R67" s="25">
        <f>R66*PARAMS!$J$8</f>
        <v>1717034.2648593243</v>
      </c>
      <c r="S67" s="25">
        <f>S66*PARAMS!$J$8</f>
        <v>1789559.0969860663</v>
      </c>
      <c r="T67" s="25">
        <f>T66*PARAMS!$J$8</f>
        <v>1848914.1733138463</v>
      </c>
      <c r="U67" s="25">
        <f>U66*PARAMS!$J$8</f>
        <v>1829250.7148478588</v>
      </c>
      <c r="V67" s="25">
        <f>V66*PARAMS!$J$8</f>
        <v>1809587.2563818712</v>
      </c>
      <c r="W67" s="25">
        <f>W66*PARAMS!$J$8</f>
        <v>1789923.7979158834</v>
      </c>
      <c r="X67" s="25">
        <f>X66*PARAMS!$J$8</f>
        <v>1770260.3394498955</v>
      </c>
      <c r="Y67" s="25">
        <f>Y66*PARAMS!$J$8</f>
        <v>1750596.880983908</v>
      </c>
      <c r="Z67" s="25">
        <f>Z66*PARAMS!$J$8</f>
        <v>1730933.4225179201</v>
      </c>
      <c r="AA67" s="25">
        <f>AA66*PARAMS!$J$8</f>
        <v>1711269.9640519326</v>
      </c>
      <c r="AB67" s="25">
        <f>AB66*PARAMS!$J$8</f>
        <v>1691606.5055859447</v>
      </c>
      <c r="AC67" s="25">
        <f>AC66*PARAMS!$J$8</f>
        <v>1671943.0471199569</v>
      </c>
      <c r="AD67" s="25">
        <f>AD66*PARAMS!$J$8</f>
        <v>1652279.5886539693</v>
      </c>
      <c r="AE67" s="25">
        <f>AE66*PARAMS!$J$8</f>
        <v>1632616.1301879818</v>
      </c>
      <c r="AF67" s="25">
        <f>AF66*PARAMS!$J$8</f>
        <v>1612952.6717219937</v>
      </c>
      <c r="AG67" s="25">
        <f>AG66*PARAMS!$J$8</f>
        <v>1593289.2132560061</v>
      </c>
      <c r="AH67" s="25">
        <f>AH66*PARAMS!$J$8</f>
        <v>1573625.7547900185</v>
      </c>
    </row>
    <row r="68" spans="2:34" x14ac:dyDescent="0.2">
      <c r="D68" t="s">
        <v>314</v>
      </c>
      <c r="E68" t="s">
        <v>140</v>
      </c>
      <c r="I68" s="11">
        <f>(SUM(I21:I23)-SUM(I13:I15))*PARAMS!$C$22</f>
        <v>0</v>
      </c>
      <c r="J68" s="11">
        <f>(SUM(J21:J23)-SUM(J13:J15))*PARAMS!$C$22</f>
        <v>1409608.536021</v>
      </c>
      <c r="K68" s="11">
        <f>(SUM(K21:K23)-SUM(K13:K15))*PARAMS!$C$22</f>
        <v>2930336.1653327998</v>
      </c>
      <c r="L68" s="11">
        <f>(SUM(L21:L23)-SUM(L13:L15))*PARAMS!$C$22</f>
        <v>3673466.4958488001</v>
      </c>
      <c r="M68" s="11">
        <f>(SUM(M21:M23)-SUM(M13:M15))*PARAMS!$C$22</f>
        <v>18764733.607956</v>
      </c>
      <c r="N68" s="11">
        <f>(SUM(N21:N23)-SUM(N13:N15))*PARAMS!$C$22</f>
        <v>26315640.308601003</v>
      </c>
      <c r="O68" s="11">
        <f>(SUM(O21:O23)-SUM(O13:O15))*PARAMS!$C$22</f>
        <v>30158230.488245998</v>
      </c>
      <c r="P68" s="11">
        <f>(SUM(P21:P23)-SUM(P13:P15))*PARAMS!$C$22</f>
        <v>31616902.904390998</v>
      </c>
      <c r="Q68" s="11">
        <f>(SUM(Q21:Q23)-SUM(Q13:Q15))*PARAMS!$C$22</f>
        <v>33075575.320535999</v>
      </c>
      <c r="R68" s="11">
        <f>(SUM(R21:R23)-SUM(R13:R15))*PARAMS!$C$22</f>
        <v>34534247.736680999</v>
      </c>
      <c r="S68" s="11">
        <f>(SUM(S21:S23)-SUM(S13:S15))*PARAMS!$C$22</f>
        <v>35992920.152826004</v>
      </c>
      <c r="T68" s="11">
        <f>(SUM(T21:T23)-SUM(T13:T15))*PARAMS!$C$22</f>
        <v>37186712.817470998</v>
      </c>
      <c r="U68" s="11">
        <f>(SUM(U21:U23)-SUM(U13:U15))*PARAMS!$C$22</f>
        <v>36791226.973115996</v>
      </c>
      <c r="V68" s="11">
        <f>(SUM(V21:V23)-SUM(V13:V15))*PARAMS!$C$22</f>
        <v>36395741.128761001</v>
      </c>
      <c r="W68" s="11">
        <f>(SUM(W21:W23)-SUM(W13:W15))*PARAMS!$C$22</f>
        <v>36000255.284405999</v>
      </c>
      <c r="X68" s="11">
        <f>(SUM(X21:X23)-SUM(X13:X15))*PARAMS!$C$22</f>
        <v>35604769.440050997</v>
      </c>
      <c r="Y68" s="11">
        <f>(SUM(Y21:Y23)-SUM(Y13:Y15))*PARAMS!$C$22</f>
        <v>35209283.595695995</v>
      </c>
      <c r="Z68" s="11">
        <f>(SUM(Z21:Z23)-SUM(Z13:Z15))*PARAMS!$C$22</f>
        <v>34813797.751341</v>
      </c>
      <c r="AA68" s="11">
        <f>(SUM(AA21:AA23)-SUM(AA13:AA15))*PARAMS!$C$22</f>
        <v>34418311.906985998</v>
      </c>
      <c r="AB68" s="11">
        <f>(SUM(AB21:AB23)-SUM(AB13:AB15))*PARAMS!$C$22</f>
        <v>34022826.062630996</v>
      </c>
      <c r="AC68" s="11">
        <f>(SUM(AC21:AC23)-SUM(AC13:AC15))*PARAMS!$C$22</f>
        <v>33627340.218275994</v>
      </c>
      <c r="AD68" s="11">
        <f>(SUM(AD21:AD23)-SUM(AD13:AD15))*PARAMS!$C$22</f>
        <v>33231854.373920996</v>
      </c>
      <c r="AE68" s="11">
        <f>(SUM(AE21:AE23)-SUM(AE13:AE15))*PARAMS!$C$22</f>
        <v>32836368.529565997</v>
      </c>
      <c r="AF68" s="11">
        <f>(SUM(AF21:AF23)-SUM(AF13:AF15))*PARAMS!$C$22</f>
        <v>32440882.685210992</v>
      </c>
      <c r="AG68" s="11">
        <f>(SUM(AG21:AG23)-SUM(AG13:AG15))*PARAMS!$C$22</f>
        <v>32045396.840855993</v>
      </c>
      <c r="AH68" s="11">
        <f>(SUM(AH21:AH23)-SUM(AH13:AH15))*PARAMS!$C$22</f>
        <v>31649910.996500995</v>
      </c>
    </row>
    <row r="69" spans="2:34" x14ac:dyDescent="0.2">
      <c r="D69" t="s">
        <v>316</v>
      </c>
      <c r="E69" t="s">
        <v>171</v>
      </c>
      <c r="I69" s="25">
        <f>I68*PARAMS!$J$12</f>
        <v>0</v>
      </c>
      <c r="J69" s="25">
        <f>J68*PARAMS!$J$12</f>
        <v>25756.776179751087</v>
      </c>
      <c r="K69" s="25">
        <f>K68*PARAMS!$J$12</f>
        <v>53543.952674235632</v>
      </c>
      <c r="L69" s="25">
        <f>L68*PARAMS!$J$12</f>
        <v>67122.645698835709</v>
      </c>
      <c r="M69" s="25">
        <f>M68*PARAMS!$J$12</f>
        <v>342874.65722722851</v>
      </c>
      <c r="N69" s="25">
        <f>N68*PARAMS!$J$12</f>
        <v>480847.01541944552</v>
      </c>
      <c r="O69" s="25">
        <f>O68*PARAMS!$J$12</f>
        <v>551059.93814124097</v>
      </c>
      <c r="P69" s="25">
        <f>P68*PARAMS!$J$12</f>
        <v>577713.22377490846</v>
      </c>
      <c r="Q69" s="25">
        <f>Q68*PARAMS!$J$12</f>
        <v>604366.50940857583</v>
      </c>
      <c r="R69" s="25">
        <f>R68*PARAMS!$J$12</f>
        <v>631019.79504224332</v>
      </c>
      <c r="S69" s="25">
        <f>S68*PARAMS!$J$12</f>
        <v>657673.08067591081</v>
      </c>
      <c r="T69" s="25">
        <f>T68*PARAMS!$J$12</f>
        <v>679486.40663311945</v>
      </c>
      <c r="U69" s="25">
        <f>U68*PARAMS!$J$12</f>
        <v>672259.97453157615</v>
      </c>
      <c r="V69" s="25">
        <f>V68*PARAMS!$J$12</f>
        <v>665033.54243003286</v>
      </c>
      <c r="W69" s="25">
        <f>W68*PARAMS!$J$12</f>
        <v>657807.11032848957</v>
      </c>
      <c r="X69" s="25">
        <f>X68*PARAMS!$J$12</f>
        <v>650580.67822694627</v>
      </c>
      <c r="Y69" s="25">
        <f>Y68*PARAMS!$J$12</f>
        <v>643354.24612540286</v>
      </c>
      <c r="Z69" s="25">
        <f>Z68*PARAMS!$J$12</f>
        <v>636127.81402385968</v>
      </c>
      <c r="AA69" s="25">
        <f>AA68*PARAMS!$J$12</f>
        <v>628901.38192231639</v>
      </c>
      <c r="AB69" s="25">
        <f>AB68*PARAMS!$J$12</f>
        <v>621674.94982077298</v>
      </c>
      <c r="AC69" s="25">
        <f>AC68*PARAMS!$J$12</f>
        <v>614448.51771922968</v>
      </c>
      <c r="AD69" s="25">
        <f>AD68*PARAMS!$J$12</f>
        <v>607222.08561768639</v>
      </c>
      <c r="AE69" s="25">
        <f>AE68*PARAMS!$J$12</f>
        <v>599995.65351614309</v>
      </c>
      <c r="AF69" s="25">
        <f>AF68*PARAMS!$J$12</f>
        <v>592769.22141459968</v>
      </c>
      <c r="AG69" s="25">
        <f>AG68*PARAMS!$J$12</f>
        <v>585542.78931305651</v>
      </c>
      <c r="AH69" s="25">
        <f>AH68*PARAMS!$J$12</f>
        <v>578316.35721151321</v>
      </c>
    </row>
    <row r="70" spans="2:34" x14ac:dyDescent="0.2">
      <c r="D70" t="s">
        <v>317</v>
      </c>
      <c r="E70" t="s">
        <v>171</v>
      </c>
      <c r="G70" s="25">
        <f>SUM(I70:AH70)</f>
        <v>49956904.825137183</v>
      </c>
      <c r="I70" s="26">
        <f t="shared" ref="I70:AG70" si="39">SUM(I69,I67)</f>
        <v>0</v>
      </c>
      <c r="J70" s="26">
        <f t="shared" si="39"/>
        <v>95842.164309269952</v>
      </c>
      <c r="K70" s="26">
        <f t="shared" si="39"/>
        <v>199239.54279675148</v>
      </c>
      <c r="L70" s="26">
        <f t="shared" si="39"/>
        <v>249766.49224440689</v>
      </c>
      <c r="M70" s="26">
        <f t="shared" si="39"/>
        <v>1275852.5758860798</v>
      </c>
      <c r="N70" s="26">
        <f t="shared" si="39"/>
        <v>1789254.1495811499</v>
      </c>
      <c r="O70" s="26">
        <f t="shared" si="39"/>
        <v>2050519.7066203395</v>
      </c>
      <c r="P70" s="26">
        <f t="shared" si="39"/>
        <v>2149697.8243807489</v>
      </c>
      <c r="Q70" s="26">
        <f t="shared" si="39"/>
        <v>2248875.942141158</v>
      </c>
      <c r="R70" s="26">
        <f t="shared" si="39"/>
        <v>2348054.0599015676</v>
      </c>
      <c r="S70" s="26">
        <f t="shared" si="39"/>
        <v>2447232.1776619772</v>
      </c>
      <c r="T70" s="26">
        <f t="shared" si="39"/>
        <v>2528400.5799469659</v>
      </c>
      <c r="U70" s="26">
        <f t="shared" si="39"/>
        <v>2501510.689379435</v>
      </c>
      <c r="V70" s="26">
        <f t="shared" si="39"/>
        <v>2474620.7988119042</v>
      </c>
      <c r="W70" s="26">
        <f t="shared" si="39"/>
        <v>2447730.9082443728</v>
      </c>
      <c r="X70" s="26">
        <f t="shared" si="39"/>
        <v>2420841.0176768419</v>
      </c>
      <c r="Y70" s="26">
        <f t="shared" si="39"/>
        <v>2393951.1271093106</v>
      </c>
      <c r="Z70" s="26">
        <f t="shared" si="39"/>
        <v>2367061.2365417797</v>
      </c>
      <c r="AA70" s="26">
        <f t="shared" si="39"/>
        <v>2340171.3459742488</v>
      </c>
      <c r="AB70" s="26">
        <f t="shared" si="39"/>
        <v>2313281.455406718</v>
      </c>
      <c r="AC70" s="26">
        <f t="shared" si="39"/>
        <v>2286391.5648391866</v>
      </c>
      <c r="AD70" s="26">
        <f t="shared" si="39"/>
        <v>2259501.6742716557</v>
      </c>
      <c r="AE70" s="26">
        <f t="shared" si="39"/>
        <v>2232611.7837041249</v>
      </c>
      <c r="AF70" s="26">
        <f t="shared" si="39"/>
        <v>2205721.8931365935</v>
      </c>
      <c r="AG70" s="26">
        <f t="shared" si="39"/>
        <v>2178832.0025690626</v>
      </c>
      <c r="AH70" s="26">
        <f t="shared" ref="AH70" si="40">SUM(AH69,AH67)</f>
        <v>2151942.1120015318</v>
      </c>
    </row>
    <row r="71" spans="2:34" s="61" customFormat="1" x14ac:dyDescent="0.2">
      <c r="D71" s="61" t="s">
        <v>318</v>
      </c>
      <c r="E71" s="61" t="s">
        <v>171</v>
      </c>
      <c r="G71" s="62">
        <f>SUM(I71:AH71)</f>
        <v>21658187.846656948</v>
      </c>
      <c r="I71" s="63">
        <f>I70/'1_MODEL_assumptions'!I$36</f>
        <v>0</v>
      </c>
      <c r="J71" s="63">
        <f>J70/'1_MODEL_assumptions'!J$36</f>
        <v>95842.164309269952</v>
      </c>
      <c r="K71" s="63">
        <f>K70/'1_MODEL_assumptions'!K$36</f>
        <v>186205.18018387989</v>
      </c>
      <c r="L71" s="63">
        <f>L70/'1_MODEL_assumptions'!L$36</f>
        <v>218155.72735121573</v>
      </c>
      <c r="M71" s="63">
        <f>M70/'1_MODEL_assumptions'!M$36</f>
        <v>1041475.7489215315</v>
      </c>
      <c r="N71" s="63">
        <f>N70/'1_MODEL_assumptions'!N$36</f>
        <v>1365013.4238516258</v>
      </c>
      <c r="O71" s="63">
        <f>O70/'1_MODEL_assumptions'!O$36</f>
        <v>1461992.2115792085</v>
      </c>
      <c r="P71" s="63">
        <f>P70/'1_MODEL_assumptions'!P$36</f>
        <v>1432434.4288313871</v>
      </c>
      <c r="Q71" s="63">
        <f>Q70/'1_MODEL_assumptions'!Q$36</f>
        <v>1400486.9124988727</v>
      </c>
      <c r="R71" s="63">
        <f>R70/'1_MODEL_assumptions'!R$36</f>
        <v>1366588.8408736144</v>
      </c>
      <c r="S71" s="63">
        <f>S70/'1_MODEL_assumptions'!S$36</f>
        <v>1331132.1573680339</v>
      </c>
      <c r="T71" s="63">
        <f>T70/'1_MODEL_assumptions'!T$36</f>
        <v>1285310.64504905</v>
      </c>
      <c r="U71" s="63">
        <f>U70/'1_MODEL_assumptions'!U$36</f>
        <v>1188449.7086107156</v>
      </c>
      <c r="V71" s="63">
        <f>V70/'1_MODEL_assumptions'!V$36</f>
        <v>1098761.2292583471</v>
      </c>
      <c r="W71" s="63">
        <f>W70/'1_MODEL_assumptions'!W$36</f>
        <v>1015721.3049193349</v>
      </c>
      <c r="X71" s="63">
        <f>X70/'1_MODEL_assumptions'!X$36</f>
        <v>938843.88441700593</v>
      </c>
      <c r="Y71" s="63">
        <f>Y70/'1_MODEL_assumptions'!Y$36</f>
        <v>867678.05723911023</v>
      </c>
      <c r="Z71" s="63">
        <f>Z70/'1_MODEL_assumptions'!Z$36</f>
        <v>801805.53591989737</v>
      </c>
      <c r="AA71" s="63">
        <f>AA70/'1_MODEL_assumptions'!AA$36</f>
        <v>740838.31743337412</v>
      </c>
      <c r="AB71" s="63">
        <f>AB70/'1_MODEL_assumptions'!AB$36</f>
        <v>684416.51095075824</v>
      </c>
      <c r="AC71" s="63">
        <f>AC70/'1_MODEL_assumptions'!AC$36</f>
        <v>632206.32020372828</v>
      </c>
      <c r="AD71" s="63">
        <f>AD70/'1_MODEL_assumptions'!AD$36</f>
        <v>583898.16952154809</v>
      </c>
      <c r="AE71" s="63">
        <f>AE70/'1_MODEL_assumptions'!AE$36</f>
        <v>539204.96337879682</v>
      </c>
      <c r="AF71" s="63">
        <f>AF70/'1_MODEL_assumptions'!AF$36</f>
        <v>497860.47000530799</v>
      </c>
      <c r="AG71" s="63">
        <f>AG70/'1_MODEL_assumptions'!AG$36</f>
        <v>459617.82027475093</v>
      </c>
      <c r="AH71" s="63">
        <f>AH70/'1_MODEL_assumptions'!AH$36</f>
        <v>424248.11370657617</v>
      </c>
    </row>
    <row r="73" spans="2:34" x14ac:dyDescent="0.2">
      <c r="C73" s="1" t="s">
        <v>157</v>
      </c>
    </row>
    <row r="74" spans="2:34" x14ac:dyDescent="0.2">
      <c r="D74" t="s">
        <v>365</v>
      </c>
    </row>
    <row r="76" spans="2:34" x14ac:dyDescent="0.2">
      <c r="B76" s="1" t="s">
        <v>362</v>
      </c>
    </row>
    <row r="77" spans="2:34" x14ac:dyDescent="0.2">
      <c r="C77" s="1" t="s">
        <v>361</v>
      </c>
    </row>
    <row r="78" spans="2:34" x14ac:dyDescent="0.2">
      <c r="D78" s="16" t="s">
        <v>319</v>
      </c>
    </row>
    <row r="79" spans="2:34" x14ac:dyDescent="0.2">
      <c r="D79" s="16" t="s">
        <v>320</v>
      </c>
    </row>
    <row r="81" spans="1:34" x14ac:dyDescent="0.2">
      <c r="B81" s="1" t="s">
        <v>366</v>
      </c>
    </row>
    <row r="82" spans="1:34" x14ac:dyDescent="0.2">
      <c r="C82" s="1" t="s">
        <v>325</v>
      </c>
    </row>
    <row r="83" spans="1:34" x14ac:dyDescent="0.2">
      <c r="D83" t="s">
        <v>313</v>
      </c>
      <c r="E83" t="s">
        <v>140</v>
      </c>
      <c r="I83" s="12">
        <f t="shared" ref="I83:AG83" si="41">I66</f>
        <v>0</v>
      </c>
      <c r="J83" s="12">
        <f t="shared" si="41"/>
        <v>604117.94400900009</v>
      </c>
      <c r="K83" s="12">
        <f t="shared" si="41"/>
        <v>1255858.3565712001</v>
      </c>
      <c r="L83" s="12">
        <f t="shared" si="41"/>
        <v>1574342.7839352002</v>
      </c>
      <c r="M83" s="12">
        <f t="shared" si="41"/>
        <v>8042028.6891240003</v>
      </c>
      <c r="N83" s="12">
        <f t="shared" si="41"/>
        <v>11278131.560829001</v>
      </c>
      <c r="O83" s="12">
        <f t="shared" si="41"/>
        <v>12924955.923534</v>
      </c>
      <c r="P83" s="12">
        <f t="shared" si="41"/>
        <v>13550101.244739</v>
      </c>
      <c r="Q83" s="12">
        <f t="shared" si="41"/>
        <v>14175246.565944001</v>
      </c>
      <c r="R83" s="12">
        <f t="shared" si="41"/>
        <v>14800391.887149001</v>
      </c>
      <c r="S83" s="12">
        <f t="shared" si="41"/>
        <v>15425537.208354002</v>
      </c>
      <c r="T83" s="12">
        <f t="shared" si="41"/>
        <v>15937162.636058999</v>
      </c>
      <c r="U83" s="12">
        <f t="shared" si="41"/>
        <v>15767668.702763999</v>
      </c>
      <c r="V83" s="12">
        <f t="shared" si="41"/>
        <v>15598174.769469</v>
      </c>
      <c r="W83" s="12">
        <f t="shared" si="41"/>
        <v>15428680.836174</v>
      </c>
      <c r="X83" s="12">
        <f t="shared" si="41"/>
        <v>15259186.902878998</v>
      </c>
      <c r="Y83" s="12">
        <f t="shared" si="41"/>
        <v>15089692.969583999</v>
      </c>
      <c r="Z83" s="12">
        <f t="shared" si="41"/>
        <v>14920199.036288999</v>
      </c>
      <c r="AA83" s="12">
        <f t="shared" si="41"/>
        <v>14750705.102994001</v>
      </c>
      <c r="AB83" s="12">
        <f t="shared" si="41"/>
        <v>14581211.169698998</v>
      </c>
      <c r="AC83" s="12">
        <f t="shared" si="41"/>
        <v>14411717.236403998</v>
      </c>
      <c r="AD83" s="12">
        <f t="shared" si="41"/>
        <v>14242223.303109</v>
      </c>
      <c r="AE83" s="12">
        <f t="shared" si="41"/>
        <v>14072729.369813999</v>
      </c>
      <c r="AF83" s="12">
        <f t="shared" si="41"/>
        <v>13903235.436518997</v>
      </c>
      <c r="AG83" s="12">
        <f t="shared" si="41"/>
        <v>13733741.503223998</v>
      </c>
      <c r="AH83" s="12">
        <f t="shared" ref="AH83" si="42">AH66</f>
        <v>13564247.569928998</v>
      </c>
    </row>
    <row r="84" spans="1:34" s="25" customFormat="1" x14ac:dyDescent="0.2">
      <c r="D84" s="25" t="s">
        <v>327</v>
      </c>
      <c r="E84" s="25" t="s">
        <v>171</v>
      </c>
      <c r="I84" s="25">
        <f>I83*PARAMS!$C$16</f>
        <v>0</v>
      </c>
      <c r="J84" s="25">
        <f>J83*PARAMS!$C$16</f>
        <v>531623.79072792013</v>
      </c>
      <c r="K84" s="25">
        <f>K83*PARAMS!$C$16</f>
        <v>1105155.3537826561</v>
      </c>
      <c r="L84" s="25">
        <f>L83*PARAMS!$C$16</f>
        <v>1385421.6498629763</v>
      </c>
      <c r="M84" s="25">
        <f>M83*PARAMS!$C$16</f>
        <v>7076985.2464291202</v>
      </c>
      <c r="N84" s="25">
        <f>N83*PARAMS!$C$16</f>
        <v>9924755.7735295203</v>
      </c>
      <c r="O84" s="25">
        <f>O83*PARAMS!$C$16</f>
        <v>11373961.21270992</v>
      </c>
      <c r="P84" s="25">
        <f>P83*PARAMS!$C$16</f>
        <v>11924089.095370321</v>
      </c>
      <c r="Q84" s="25">
        <f>Q83*PARAMS!$C$16</f>
        <v>12474216.978030721</v>
      </c>
      <c r="R84" s="25">
        <f>R83*PARAMS!$C$16</f>
        <v>13024344.860691121</v>
      </c>
      <c r="S84" s="25">
        <f>S83*PARAMS!$C$16</f>
        <v>13574472.743351521</v>
      </c>
      <c r="T84" s="25">
        <f>T83*PARAMS!$C$16</f>
        <v>14024703.11973192</v>
      </c>
      <c r="U84" s="25">
        <f>U83*PARAMS!$C$16</f>
        <v>13875548.458432319</v>
      </c>
      <c r="V84" s="25">
        <f>V83*PARAMS!$C$16</f>
        <v>13726393.797132721</v>
      </c>
      <c r="W84" s="25">
        <f>W83*PARAMS!$C$16</f>
        <v>13577239.13583312</v>
      </c>
      <c r="X84" s="25">
        <f>X83*PARAMS!$C$16</f>
        <v>13428084.474533519</v>
      </c>
      <c r="Y84" s="25">
        <f>Y83*PARAMS!$C$16</f>
        <v>13278929.813233919</v>
      </c>
      <c r="Z84" s="25">
        <f>Z83*PARAMS!$C$16</f>
        <v>13129775.15193432</v>
      </c>
      <c r="AA84" s="25">
        <f>AA83*PARAMS!$C$16</f>
        <v>12980620.490634721</v>
      </c>
      <c r="AB84" s="25">
        <f>AB83*PARAMS!$C$16</f>
        <v>12831465.829335118</v>
      </c>
      <c r="AC84" s="25">
        <f>AC83*PARAMS!$C$16</f>
        <v>12682311.168035518</v>
      </c>
      <c r="AD84" s="25">
        <f>AD83*PARAMS!$C$16</f>
        <v>12533156.506735919</v>
      </c>
      <c r="AE84" s="25">
        <f>AE83*PARAMS!$C$16</f>
        <v>12384001.84543632</v>
      </c>
      <c r="AF84" s="25">
        <f>AF83*PARAMS!$C$16</f>
        <v>12234847.184136717</v>
      </c>
      <c r="AG84" s="25">
        <f>AG83*PARAMS!$C$16</f>
        <v>12085692.522837119</v>
      </c>
      <c r="AH84" s="25">
        <f>AH83*PARAMS!$C$16</f>
        <v>11936537.861537518</v>
      </c>
    </row>
    <row r="85" spans="1:34" s="25" customFormat="1" x14ac:dyDescent="0.2">
      <c r="A85" s="25" t="s">
        <v>510</v>
      </c>
      <c r="D85" s="25" t="s">
        <v>511</v>
      </c>
      <c r="E85" s="25" t="s">
        <v>171</v>
      </c>
      <c r="J85" s="25">
        <f>J83/100000000*PARAMS!$C$18*PARAMS!$C$20</f>
        <v>49875.977457383044</v>
      </c>
      <c r="K85" s="25">
        <f>K83/100000000*PARAMS!$C$18*PARAMS!$C$20</f>
        <v>103683.66591851828</v>
      </c>
      <c r="L85" s="25">
        <f>L83/100000000*PARAMS!$C$18*PARAMS!$C$20</f>
        <v>129977.74024169013</v>
      </c>
      <c r="M85" s="25">
        <f>M83/100000000*PARAMS!$C$18*PARAMS!$C$20</f>
        <v>663949.88857407751</v>
      </c>
      <c r="N85" s="25">
        <f>N83/100000000*PARAMS!$C$18*PARAMS!$C$20</f>
        <v>931122.54166204238</v>
      </c>
      <c r="O85" s="25">
        <f>O83/100000000*PARAMS!$C$18*PARAMS!$C$20</f>
        <v>1067084.3610469671</v>
      </c>
      <c r="P85" s="25">
        <f>P83/100000000*PARAMS!$C$18*PARAMS!$C$20</f>
        <v>1118696.3587656517</v>
      </c>
      <c r="Q85" s="25">
        <f>Q83/100000000*PARAMS!$C$18*PARAMS!$C$20</f>
        <v>1170308.3564843368</v>
      </c>
      <c r="R85" s="25">
        <f>R83/100000000*PARAMS!$C$18*PARAMS!$C$20</f>
        <v>1221920.3542030216</v>
      </c>
      <c r="S85" s="25">
        <f>S83/100000000*PARAMS!$C$18*PARAMS!$C$20</f>
        <v>1273532.3519217065</v>
      </c>
      <c r="T85" s="25">
        <f>T83/100000000*PARAMS!$C$18*PARAMS!$C$20</f>
        <v>1315772.147233031</v>
      </c>
      <c r="U85" s="25">
        <f>U83/100000000*PARAMS!$C$18*PARAMS!$C$20</f>
        <v>1301778.7281001958</v>
      </c>
      <c r="V85" s="25">
        <f>V83/100000000*PARAMS!$C$18*PARAMS!$C$20</f>
        <v>1287785.3089673608</v>
      </c>
      <c r="W85" s="25">
        <f>W83/100000000*PARAMS!$C$18*PARAMS!$C$20</f>
        <v>1273791.8898345255</v>
      </c>
      <c r="X85" s="25">
        <f>X83/100000000*PARAMS!$C$18*PARAMS!$C$20</f>
        <v>1259798.4707016903</v>
      </c>
      <c r="Y85" s="25">
        <f>Y83/100000000*PARAMS!$C$18*PARAMS!$C$20</f>
        <v>1245805.0515688551</v>
      </c>
      <c r="Z85" s="25">
        <f>Z83/100000000*PARAMS!$C$18*PARAMS!$C$20</f>
        <v>1231811.6324360198</v>
      </c>
      <c r="AA85" s="25">
        <f>AA83/100000000*PARAMS!$C$18*PARAMS!$C$20</f>
        <v>1217818.2133031844</v>
      </c>
      <c r="AB85" s="25">
        <f>AB83/100000000*PARAMS!$C$18*PARAMS!$C$20</f>
        <v>1203824.7941703491</v>
      </c>
      <c r="AC85" s="25">
        <f>AC83/100000000*PARAMS!$C$18*PARAMS!$C$20</f>
        <v>1189831.3750375141</v>
      </c>
      <c r="AD85" s="25">
        <f>AD83/100000000*PARAMS!$C$18*PARAMS!$C$20</f>
        <v>1175837.9559046789</v>
      </c>
      <c r="AE85" s="25">
        <f>AE83/100000000*PARAMS!$C$18*PARAMS!$C$20</f>
        <v>1161844.5367718437</v>
      </c>
      <c r="AF85" s="25">
        <f>AF83/100000000*PARAMS!$C$18*PARAMS!$C$20</f>
        <v>1147851.1176390082</v>
      </c>
      <c r="AG85" s="25">
        <f>AG83/100000000*PARAMS!$C$18*PARAMS!$C$20</f>
        <v>1133857.6985061732</v>
      </c>
      <c r="AH85" s="25">
        <f>AH83/100000000*PARAMS!$C$18*PARAMS!$C$20</f>
        <v>1119864.279373338</v>
      </c>
    </row>
    <row r="86" spans="1:34" x14ac:dyDescent="0.2">
      <c r="D86" t="s">
        <v>314</v>
      </c>
      <c r="E86" t="s">
        <v>140</v>
      </c>
      <c r="I86" s="12">
        <f t="shared" ref="I86:AG86" si="43">I68</f>
        <v>0</v>
      </c>
      <c r="J86" s="12">
        <f t="shared" si="43"/>
        <v>1409608.536021</v>
      </c>
      <c r="K86" s="12">
        <f t="shared" si="43"/>
        <v>2930336.1653327998</v>
      </c>
      <c r="L86" s="12">
        <f t="shared" si="43"/>
        <v>3673466.4958488001</v>
      </c>
      <c r="M86" s="12">
        <f t="shared" si="43"/>
        <v>18764733.607956</v>
      </c>
      <c r="N86" s="12">
        <f t="shared" si="43"/>
        <v>26315640.308601003</v>
      </c>
      <c r="O86" s="12">
        <f t="shared" si="43"/>
        <v>30158230.488245998</v>
      </c>
      <c r="P86" s="12">
        <f t="shared" si="43"/>
        <v>31616902.904390998</v>
      </c>
      <c r="Q86" s="12">
        <f t="shared" si="43"/>
        <v>33075575.320535999</v>
      </c>
      <c r="R86" s="12">
        <f t="shared" si="43"/>
        <v>34534247.736680999</v>
      </c>
      <c r="S86" s="12">
        <f t="shared" si="43"/>
        <v>35992920.152826004</v>
      </c>
      <c r="T86" s="12">
        <f t="shared" si="43"/>
        <v>37186712.817470998</v>
      </c>
      <c r="U86" s="12">
        <f t="shared" si="43"/>
        <v>36791226.973115996</v>
      </c>
      <c r="V86" s="12">
        <f t="shared" si="43"/>
        <v>36395741.128761001</v>
      </c>
      <c r="W86" s="12">
        <f t="shared" si="43"/>
        <v>36000255.284405999</v>
      </c>
      <c r="X86" s="12">
        <f t="shared" si="43"/>
        <v>35604769.440050997</v>
      </c>
      <c r="Y86" s="12">
        <f t="shared" si="43"/>
        <v>35209283.595695995</v>
      </c>
      <c r="Z86" s="12">
        <f t="shared" si="43"/>
        <v>34813797.751341</v>
      </c>
      <c r="AA86" s="12">
        <f t="shared" si="43"/>
        <v>34418311.906985998</v>
      </c>
      <c r="AB86" s="12">
        <f t="shared" si="43"/>
        <v>34022826.062630996</v>
      </c>
      <c r="AC86" s="12">
        <f t="shared" si="43"/>
        <v>33627340.218275994</v>
      </c>
      <c r="AD86" s="12">
        <f t="shared" si="43"/>
        <v>33231854.373920996</v>
      </c>
      <c r="AE86" s="12">
        <f t="shared" si="43"/>
        <v>32836368.529565997</v>
      </c>
      <c r="AF86" s="12">
        <f t="shared" si="43"/>
        <v>32440882.685210992</v>
      </c>
      <c r="AG86" s="12">
        <f t="shared" si="43"/>
        <v>32045396.840855993</v>
      </c>
      <c r="AH86" s="12">
        <f t="shared" ref="AH86" si="44">AH68</f>
        <v>31649910.996500995</v>
      </c>
    </row>
    <row r="87" spans="1:34" s="25" customFormat="1" x14ac:dyDescent="0.2">
      <c r="D87" s="25" t="s">
        <v>328</v>
      </c>
      <c r="E87" s="25" t="s">
        <v>171</v>
      </c>
      <c r="I87" s="25">
        <f>I86*PARAMS!$C$17</f>
        <v>0</v>
      </c>
      <c r="J87" s="25">
        <f>J86*PARAMS!$C$17</f>
        <v>1621049.8164241498</v>
      </c>
      <c r="K87" s="25">
        <f>K86*PARAMS!$C$17</f>
        <v>3369886.5901327194</v>
      </c>
      <c r="L87" s="25">
        <f>L86*PARAMS!$C$17</f>
        <v>4224486.4702261193</v>
      </c>
      <c r="M87" s="25">
        <f>M86*PARAMS!$C$17</f>
        <v>21579443.649149399</v>
      </c>
      <c r="N87" s="25">
        <f>N86*PARAMS!$C$17</f>
        <v>30262986.354891151</v>
      </c>
      <c r="O87" s="25">
        <f>O86*PARAMS!$C$17</f>
        <v>34681965.061482891</v>
      </c>
      <c r="P87" s="25">
        <f>P86*PARAMS!$C$17</f>
        <v>36359438.340049647</v>
      </c>
      <c r="Q87" s="25">
        <f>Q86*PARAMS!$C$17</f>
        <v>38036911.618616395</v>
      </c>
      <c r="R87" s="25">
        <f>R86*PARAMS!$C$17</f>
        <v>39714384.897183143</v>
      </c>
      <c r="S87" s="25">
        <f>S86*PARAMS!$C$17</f>
        <v>41391858.175749898</v>
      </c>
      <c r="T87" s="25">
        <f>T86*PARAMS!$C$17</f>
        <v>42764719.740091644</v>
      </c>
      <c r="U87" s="25">
        <f>U86*PARAMS!$C$17</f>
        <v>42309911.019083388</v>
      </c>
      <c r="V87" s="25">
        <f>V86*PARAMS!$C$17</f>
        <v>41855102.298075147</v>
      </c>
      <c r="W87" s="25">
        <f>W86*PARAMS!$C$17</f>
        <v>41400293.577066898</v>
      </c>
      <c r="X87" s="25">
        <f>X86*PARAMS!$C$17</f>
        <v>40945484.856058642</v>
      </c>
      <c r="Y87" s="25">
        <f>Y86*PARAMS!$C$17</f>
        <v>40490676.135050394</v>
      </c>
      <c r="Z87" s="25">
        <f>Z86*PARAMS!$C$17</f>
        <v>40035867.414042145</v>
      </c>
      <c r="AA87" s="25">
        <f>AA86*PARAMS!$C$17</f>
        <v>39581058.693033896</v>
      </c>
      <c r="AB87" s="25">
        <f>AB86*PARAMS!$C$17</f>
        <v>39126249.97202564</v>
      </c>
      <c r="AC87" s="25">
        <f>AC86*PARAMS!$C$17</f>
        <v>38671441.251017392</v>
      </c>
      <c r="AD87" s="25">
        <f>AD86*PARAMS!$C$17</f>
        <v>38216632.530009143</v>
      </c>
      <c r="AE87" s="25">
        <f>AE86*PARAMS!$C$17</f>
        <v>37761823.809000894</v>
      </c>
      <c r="AF87" s="25">
        <f>AF86*PARAMS!$C$17</f>
        <v>37307015.087992638</v>
      </c>
      <c r="AG87" s="25">
        <f>AG86*PARAMS!$C$17</f>
        <v>36852206.36698439</v>
      </c>
      <c r="AH87" s="25">
        <f>AH86*PARAMS!$C$17</f>
        <v>36397397.645976141</v>
      </c>
    </row>
    <row r="88" spans="1:34" s="25" customFormat="1" x14ac:dyDescent="0.2">
      <c r="A88" s="25" t="s">
        <v>510</v>
      </c>
      <c r="D88" s="25" t="s">
        <v>512</v>
      </c>
      <c r="E88" s="25" t="s">
        <v>171</v>
      </c>
      <c r="J88" s="25">
        <f>J86/100000000*PARAMS!$C$19*PARAMS!$C$20</f>
        <v>230048.11307862718</v>
      </c>
      <c r="K88" s="25">
        <f>K86/100000000*PARAMS!$C$19*PARAMS!$C$20</f>
        <v>478230.86218231299</v>
      </c>
      <c r="L88" s="25">
        <f>L86/100000000*PARAMS!$C$19*PARAMS!$C$20</f>
        <v>599509.73212252418</v>
      </c>
      <c r="M88" s="25">
        <f>M86/100000000*PARAMS!$C$19*PARAMS!$C$20</f>
        <v>3062404.524818419</v>
      </c>
      <c r="N88" s="25">
        <f>N86/100000000*PARAMS!$C$19*PARAMS!$C$20</f>
        <v>4294712.498363683</v>
      </c>
      <c r="O88" s="25">
        <f>O86/100000000*PARAMS!$C$19*PARAMS!$C$20</f>
        <v>4921823.2156817466</v>
      </c>
      <c r="P88" s="25">
        <f>P86/100000000*PARAMS!$C$19*PARAMS!$C$20</f>
        <v>5159878.5539966105</v>
      </c>
      <c r="Q88" s="25">
        <f>Q86/100000000*PARAMS!$C$19*PARAMS!$C$20</f>
        <v>5397933.8923114752</v>
      </c>
      <c r="R88" s="25">
        <f>R86/100000000*PARAMS!$C$19*PARAMS!$C$20</f>
        <v>5635989.2306263391</v>
      </c>
      <c r="S88" s="25">
        <f>S86/100000000*PARAMS!$C$19*PARAMS!$C$20</f>
        <v>5874044.5689412039</v>
      </c>
      <c r="T88" s="25">
        <f>T86/100000000*PARAMS!$C$19*PARAMS!$C$20</f>
        <v>6068871.5318112671</v>
      </c>
      <c r="U88" s="25">
        <f>U86/100000000*PARAMS!$C$19*PARAMS!$C$20</f>
        <v>6004328.2420125315</v>
      </c>
      <c r="V88" s="25">
        <f>V86/100000000*PARAMS!$C$19*PARAMS!$C$20</f>
        <v>5939784.9522137949</v>
      </c>
      <c r="W88" s="25">
        <f>W86/100000000*PARAMS!$C$19*PARAMS!$C$20</f>
        <v>5875241.6624150584</v>
      </c>
      <c r="X88" s="25">
        <f>X86/100000000*PARAMS!$C$19*PARAMS!$C$20</f>
        <v>5810698.3726163227</v>
      </c>
      <c r="Y88" s="25">
        <f>Y86/100000000*PARAMS!$C$19*PARAMS!$C$20</f>
        <v>5746155.0828175861</v>
      </c>
      <c r="Z88" s="25">
        <f>Z86/100000000*PARAMS!$C$19*PARAMS!$C$20</f>
        <v>5681611.7930188514</v>
      </c>
      <c r="AA88" s="25">
        <f>AA86/100000000*PARAMS!$C$19*PARAMS!$C$20</f>
        <v>5617068.5032201149</v>
      </c>
      <c r="AB88" s="25">
        <f>AB86/100000000*PARAMS!$C$19*PARAMS!$C$20</f>
        <v>5552525.2134213783</v>
      </c>
      <c r="AC88" s="25">
        <f>AC86/100000000*PARAMS!$C$19*PARAMS!$C$20</f>
        <v>5487981.9236226417</v>
      </c>
      <c r="AD88" s="25">
        <f>AD86/100000000*PARAMS!$C$19*PARAMS!$C$20</f>
        <v>5423438.6338239061</v>
      </c>
      <c r="AE88" s="25">
        <f>AE86/100000000*PARAMS!$C$19*PARAMS!$C$20</f>
        <v>5358895.3440251704</v>
      </c>
      <c r="AF88" s="25">
        <f>AF86/100000000*PARAMS!$C$19*PARAMS!$C$20</f>
        <v>5294352.0542264339</v>
      </c>
      <c r="AG88" s="25">
        <f>AG86/100000000*PARAMS!$C$19*PARAMS!$C$20</f>
        <v>5229808.7644276982</v>
      </c>
      <c r="AH88" s="25">
        <f>AH86/100000000*PARAMS!$C$19*PARAMS!$C$20</f>
        <v>5165265.4746289616</v>
      </c>
    </row>
    <row r="89" spans="1:34" x14ac:dyDescent="0.2">
      <c r="D89" t="s">
        <v>326</v>
      </c>
      <c r="E89" t="s">
        <v>171</v>
      </c>
      <c r="G89" s="26">
        <f>SUM(I89:AH89)</f>
        <v>1267970652.9696681</v>
      </c>
      <c r="I89" s="26">
        <f t="shared" ref="I89" si="45">SUM(I87,I84)</f>
        <v>0</v>
      </c>
      <c r="J89" s="26">
        <f>SUM(J87:J88,J84:J85)</f>
        <v>2432597.6976880804</v>
      </c>
      <c r="K89" s="26">
        <f t="shared" ref="K89:AG89" si="46">SUM(K87:K88,K84:K85)</f>
        <v>5056956.472016206</v>
      </c>
      <c r="L89" s="26">
        <f t="shared" si="46"/>
        <v>6339395.5924533112</v>
      </c>
      <c r="M89" s="26">
        <f t="shared" si="46"/>
        <v>32382783.308971018</v>
      </c>
      <c r="N89" s="26">
        <f t="shared" si="46"/>
        <v>45413577.168446399</v>
      </c>
      <c r="O89" s="26">
        <f t="shared" si="46"/>
        <v>52044833.850921527</v>
      </c>
      <c r="P89" s="26">
        <f t="shared" si="46"/>
        <v>54562102.348182231</v>
      </c>
      <c r="Q89" s="26">
        <f t="shared" si="46"/>
        <v>57079370.845442928</v>
      </c>
      <c r="R89" s="26">
        <f t="shared" si="46"/>
        <v>59596639.342703626</v>
      </c>
      <c r="S89" s="26">
        <f t="shared" si="46"/>
        <v>62113907.83996433</v>
      </c>
      <c r="T89" s="26">
        <f t="shared" si="46"/>
        <v>64174066.538867861</v>
      </c>
      <c r="U89" s="26">
        <f t="shared" si="46"/>
        <v>63491566.447628431</v>
      </c>
      <c r="V89" s="26">
        <f t="shared" si="46"/>
        <v>62809066.356389023</v>
      </c>
      <c r="W89" s="26">
        <f t="shared" si="46"/>
        <v>62126566.265149601</v>
      </c>
      <c r="X89" s="26">
        <f t="shared" si="46"/>
        <v>61444066.173910171</v>
      </c>
      <c r="Y89" s="26">
        <f t="shared" si="46"/>
        <v>60761566.082670756</v>
      </c>
      <c r="Z89" s="26">
        <f t="shared" si="46"/>
        <v>60079065.991431333</v>
      </c>
      <c r="AA89" s="26">
        <f t="shared" si="46"/>
        <v>59396565.900191925</v>
      </c>
      <c r="AB89" s="26">
        <f t="shared" si="46"/>
        <v>58714065.808952488</v>
      </c>
      <c r="AC89" s="26">
        <f t="shared" si="46"/>
        <v>58031565.717713065</v>
      </c>
      <c r="AD89" s="26">
        <f t="shared" si="46"/>
        <v>57349065.62647365</v>
      </c>
      <c r="AE89" s="26">
        <f t="shared" si="46"/>
        <v>56666565.535234228</v>
      </c>
      <c r="AF89" s="26">
        <f t="shared" si="46"/>
        <v>55984065.443994798</v>
      </c>
      <c r="AG89" s="26">
        <f t="shared" si="46"/>
        <v>55301565.352755383</v>
      </c>
      <c r="AH89" s="26">
        <f t="shared" ref="AH89" si="47">SUM(AH87:AH88,AH84:AH85)</f>
        <v>54619065.26151596</v>
      </c>
    </row>
    <row r="90" spans="1:34" s="61" customFormat="1" x14ac:dyDescent="0.2">
      <c r="D90" s="61" t="s">
        <v>318</v>
      </c>
      <c r="E90" s="61" t="s">
        <v>171</v>
      </c>
      <c r="G90" s="62">
        <f>SUM(I90:AH90)</f>
        <v>549712731.04668212</v>
      </c>
      <c r="H90" s="62"/>
      <c r="I90" s="62">
        <f>I89/'1_MODEL_assumptions'!I$36</f>
        <v>0</v>
      </c>
      <c r="J90" s="62">
        <f>J89/'1_MODEL_assumptions'!J$36</f>
        <v>2432597.6976880804</v>
      </c>
      <c r="K90" s="62">
        <f>K89/'1_MODEL_assumptions'!K$36</f>
        <v>4726127.5439403793</v>
      </c>
      <c r="L90" s="62">
        <f>L89/'1_MODEL_assumptions'!L$36</f>
        <v>5537073.624293223</v>
      </c>
      <c r="M90" s="62">
        <f>M89/'1_MODEL_assumptions'!M$36</f>
        <v>26433997.262929559</v>
      </c>
      <c r="N90" s="62">
        <f>N89/'1_MODEL_assumptions'!N$36</f>
        <v>34645800.583758563</v>
      </c>
      <c r="O90" s="62">
        <f>O89/'1_MODEL_assumptions'!O$36</f>
        <v>37107247.249230832</v>
      </c>
      <c r="P90" s="62">
        <f>P89/'1_MODEL_assumptions'!P$36</f>
        <v>36357032.614791907</v>
      </c>
      <c r="Q90" s="62">
        <f>Q89/'1_MODEL_assumptions'!Q$36</f>
        <v>35546163.460934438</v>
      </c>
      <c r="R90" s="62">
        <f>R89/'1_MODEL_assumptions'!R$36</f>
        <v>34685786.698932476</v>
      </c>
      <c r="S90" s="62">
        <f>S89/'1_MODEL_assumptions'!S$36</f>
        <v>33785850.35791865</v>
      </c>
      <c r="T90" s="62">
        <f>T89/'1_MODEL_assumptions'!T$36</f>
        <v>32622841.298439756</v>
      </c>
      <c r="U90" s="62">
        <f>U89/'1_MODEL_assumptions'!U$36</f>
        <v>30164385.850632064</v>
      </c>
      <c r="V90" s="62">
        <f>V89/'1_MODEL_assumptions'!V$36</f>
        <v>27887976.610981639</v>
      </c>
      <c r="W90" s="62">
        <f>W89/'1_MODEL_assumptions'!W$36</f>
        <v>25780316.269428451</v>
      </c>
      <c r="X90" s="62">
        <f>X89/'1_MODEL_assumptions'!X$36</f>
        <v>23829068.22045178</v>
      </c>
      <c r="Y90" s="62">
        <f>Y89/'1_MODEL_assumptions'!Y$36</f>
        <v>22022787.773900218</v>
      </c>
      <c r="Z90" s="62">
        <f>Z89/'1_MODEL_assumptions'!Z$36</f>
        <v>20350858.254602753</v>
      </c>
      <c r="AA90" s="62">
        <f>AA89/'1_MODEL_assumptions'!AA$36</f>
        <v>18803431.645514607</v>
      </c>
      <c r="AB90" s="62">
        <f>AB89/'1_MODEL_assumptions'!AB$36</f>
        <v>17371373.453400731</v>
      </c>
      <c r="AC90" s="62">
        <f>AC89/'1_MODEL_assumptions'!AC$36</f>
        <v>16046211.498613821</v>
      </c>
      <c r="AD90" s="62">
        <f>AD89/'1_MODEL_assumptions'!AD$36</f>
        <v>14820088.351500435</v>
      </c>
      <c r="AE90" s="62">
        <f>AE89/'1_MODEL_assumptions'!AE$36</f>
        <v>13685717.157478474</v>
      </c>
      <c r="AF90" s="62">
        <f>AF89/'1_MODEL_assumptions'!AF$36</f>
        <v>12636340.610973448</v>
      </c>
      <c r="AG90" s="62">
        <f>AG89/'1_MODEL_assumptions'!AG$36</f>
        <v>11665692.855275314</v>
      </c>
      <c r="AH90" s="62">
        <f>AH89/'1_MODEL_assumptions'!AH$36</f>
        <v>10767964.101070592</v>
      </c>
    </row>
    <row r="92" spans="1:34" x14ac:dyDescent="0.2">
      <c r="C92" s="1" t="s">
        <v>367</v>
      </c>
    </row>
    <row r="93" spans="1:34" x14ac:dyDescent="0.2">
      <c r="D93" t="s">
        <v>368</v>
      </c>
      <c r="E93" t="s">
        <v>140</v>
      </c>
      <c r="I93" s="11">
        <f t="shared" ref="I93:AG93" si="48">SUM(I24:I26)-SUM(I16:I18)</f>
        <v>0</v>
      </c>
      <c r="J93" s="11">
        <f t="shared" si="48"/>
        <v>1177108.9345310002</v>
      </c>
      <c r="K93" s="11">
        <f t="shared" si="48"/>
        <v>2447009.0761008007</v>
      </c>
      <c r="L93" s="11">
        <f t="shared" si="48"/>
        <v>3067568.1385768</v>
      </c>
      <c r="M93" s="11">
        <f t="shared" si="48"/>
        <v>15669694.826316001</v>
      </c>
      <c r="N93" s="11">
        <f t="shared" si="48"/>
        <v>21975161.566911004</v>
      </c>
      <c r="O93" s="11">
        <f t="shared" si="48"/>
        <v>25183958.276505999</v>
      </c>
      <c r="P93" s="11">
        <f t="shared" si="48"/>
        <v>26402038.537601002</v>
      </c>
      <c r="Q93" s="11">
        <f t="shared" si="48"/>
        <v>27620118.798696004</v>
      </c>
      <c r="R93" s="11">
        <f t="shared" si="48"/>
        <v>28838199.059791002</v>
      </c>
      <c r="S93" s="11">
        <f t="shared" si="48"/>
        <v>30056279.320886005</v>
      </c>
      <c r="T93" s="11">
        <f t="shared" si="48"/>
        <v>31053168.865481</v>
      </c>
      <c r="U93" s="11">
        <f t="shared" si="48"/>
        <v>30722914.111075997</v>
      </c>
      <c r="V93" s="11">
        <f t="shared" si="48"/>
        <v>30392659.356670998</v>
      </c>
      <c r="W93" s="11">
        <f t="shared" si="48"/>
        <v>30062404.602265999</v>
      </c>
      <c r="X93" s="11">
        <f t="shared" si="48"/>
        <v>29732149.847860999</v>
      </c>
      <c r="Y93" s="11">
        <f t="shared" si="48"/>
        <v>29401895.093456</v>
      </c>
      <c r="Z93" s="11">
        <f t="shared" si="48"/>
        <v>29071640.339050997</v>
      </c>
      <c r="AA93" s="11">
        <f t="shared" si="48"/>
        <v>28741385.584645998</v>
      </c>
      <c r="AB93" s="11">
        <f t="shared" si="48"/>
        <v>28411130.830240995</v>
      </c>
      <c r="AC93" s="11">
        <f t="shared" si="48"/>
        <v>28080876.075835995</v>
      </c>
      <c r="AD93" s="11">
        <f t="shared" si="48"/>
        <v>27750621.321430996</v>
      </c>
      <c r="AE93" s="11">
        <f t="shared" si="48"/>
        <v>27420366.567025997</v>
      </c>
      <c r="AF93" s="11">
        <f t="shared" si="48"/>
        <v>27090111.812620997</v>
      </c>
      <c r="AG93" s="11">
        <f t="shared" si="48"/>
        <v>26759857.058215998</v>
      </c>
      <c r="AH93" s="11">
        <f t="shared" ref="AH93" si="49">SUM(AH24:AH26)-SUM(AH16:AH18)</f>
        <v>26429602.303810991</v>
      </c>
    </row>
    <row r="94" spans="1:34" x14ac:dyDescent="0.2">
      <c r="D94" t="s">
        <v>369</v>
      </c>
      <c r="E94" t="s">
        <v>171</v>
      </c>
      <c r="G94" s="26">
        <f>SUM(I94:AH94)</f>
        <v>981692.67248896882</v>
      </c>
      <c r="I94" s="25">
        <f>I93*PARAMS!$C$36</f>
        <v>0</v>
      </c>
      <c r="J94" s="25">
        <f>J93*PARAMS!$C$36</f>
        <v>1883.3742952496004</v>
      </c>
      <c r="K94" s="25">
        <f>K93*PARAMS!$C$36</f>
        <v>3915.214521761281</v>
      </c>
      <c r="L94" s="25">
        <f>L93*PARAMS!$C$36</f>
        <v>4908.1090217228802</v>
      </c>
      <c r="M94" s="25">
        <f>M93*PARAMS!$C$36</f>
        <v>25071.511722105603</v>
      </c>
      <c r="N94" s="25">
        <f>N93*PARAMS!$C$36</f>
        <v>35160.25850705761</v>
      </c>
      <c r="O94" s="25">
        <f>O93*PARAMS!$C$36</f>
        <v>40294.333242409601</v>
      </c>
      <c r="P94" s="25">
        <f>P93*PARAMS!$C$36</f>
        <v>42243.261660161603</v>
      </c>
      <c r="Q94" s="25">
        <f>Q93*PARAMS!$C$36</f>
        <v>44192.190077913605</v>
      </c>
      <c r="R94" s="25">
        <f>R93*PARAMS!$C$36</f>
        <v>46141.118495665607</v>
      </c>
      <c r="S94" s="25">
        <f>S93*PARAMS!$C$36</f>
        <v>48090.046913417609</v>
      </c>
      <c r="T94" s="25">
        <f>T93*PARAMS!$C$36</f>
        <v>49685.070184769604</v>
      </c>
      <c r="U94" s="25">
        <f>U93*PARAMS!$C$36</f>
        <v>49156.662577721596</v>
      </c>
      <c r="V94" s="25">
        <f>V93*PARAMS!$C$36</f>
        <v>48628.254970673603</v>
      </c>
      <c r="W94" s="25">
        <f>W93*PARAMS!$C$36</f>
        <v>48099.847363625602</v>
      </c>
      <c r="X94" s="25">
        <f>X93*PARAMS!$C$36</f>
        <v>47571.439756577602</v>
      </c>
      <c r="Y94" s="25">
        <f>Y93*PARAMS!$C$36</f>
        <v>47043.032149529601</v>
      </c>
      <c r="Z94" s="25">
        <f>Z93*PARAMS!$C$36</f>
        <v>46514.624542481601</v>
      </c>
      <c r="AA94" s="25">
        <f>AA93*PARAMS!$C$36</f>
        <v>45986.2169354336</v>
      </c>
      <c r="AB94" s="25">
        <f>AB93*PARAMS!$C$36</f>
        <v>45457.809328385592</v>
      </c>
      <c r="AC94" s="25">
        <f>AC93*PARAMS!$C$36</f>
        <v>44929.401721337592</v>
      </c>
      <c r="AD94" s="25">
        <f>AD93*PARAMS!$C$36</f>
        <v>44400.994114289599</v>
      </c>
      <c r="AE94" s="25">
        <f>AE93*PARAMS!$C$36</f>
        <v>43872.586507241598</v>
      </c>
      <c r="AF94" s="25">
        <f>AF93*PARAMS!$C$36</f>
        <v>43344.178900193598</v>
      </c>
      <c r="AG94" s="25">
        <f>AG93*PARAMS!$C$36</f>
        <v>42815.771293145597</v>
      </c>
      <c r="AH94" s="25">
        <f>AH93*PARAMS!$C$36</f>
        <v>42287.363686097589</v>
      </c>
    </row>
    <row r="95" spans="1:34" s="61" customFormat="1" x14ac:dyDescent="0.2">
      <c r="D95" s="61" t="s">
        <v>318</v>
      </c>
      <c r="E95" s="61" t="s">
        <v>171</v>
      </c>
      <c r="G95" s="62">
        <f>SUM(I95:AH95)</f>
        <v>425600.51273941941</v>
      </c>
      <c r="H95" s="62"/>
      <c r="I95" s="62">
        <f>I94/'1_MODEL_assumptions'!I$36</f>
        <v>0</v>
      </c>
      <c r="J95" s="62">
        <f>J94/'1_MODEL_assumptions'!J$36</f>
        <v>1883.3742952496004</v>
      </c>
      <c r="K95" s="62">
        <f>K94/'1_MODEL_assumptions'!K$36</f>
        <v>3659.0789923002626</v>
      </c>
      <c r="L95" s="62">
        <f>L94/'1_MODEL_assumptions'!L$36</f>
        <v>4286.9325021599088</v>
      </c>
      <c r="M95" s="62">
        <f>M94/'1_MODEL_assumptions'!M$36</f>
        <v>20465.821789198912</v>
      </c>
      <c r="N95" s="62">
        <f>N94/'1_MODEL_assumptions'!N$36</f>
        <v>26823.592869387518</v>
      </c>
      <c r="O95" s="62">
        <f>O94/'1_MODEL_assumptions'!O$36</f>
        <v>28729.302713347395</v>
      </c>
      <c r="P95" s="62">
        <f>P94/'1_MODEL_assumptions'!P$36</f>
        <v>28148.468915894904</v>
      </c>
      <c r="Q95" s="62">
        <f>Q94/'1_MODEL_assumptions'!Q$36</f>
        <v>27520.674964335485</v>
      </c>
      <c r="R95" s="62">
        <f>R94/'1_MODEL_assumptions'!R$36</f>
        <v>26854.551059291673</v>
      </c>
      <c r="S95" s="62">
        <f>S94/'1_MODEL_assumptions'!S$36</f>
        <v>26157.799198662495</v>
      </c>
      <c r="T95" s="62">
        <f>T94/'1_MODEL_assumptions'!T$36</f>
        <v>25257.3702580914</v>
      </c>
      <c r="U95" s="62">
        <f>U94/'1_MODEL_assumptions'!U$36</f>
        <v>23353.976285130786</v>
      </c>
      <c r="V95" s="62">
        <f>V94/'1_MODEL_assumptions'!V$36</f>
        <v>21591.526763986811</v>
      </c>
      <c r="W95" s="62">
        <f>W94/'1_MODEL_assumptions'!W$36</f>
        <v>19959.726604769829</v>
      </c>
      <c r="X95" s="62">
        <f>X94/'1_MODEL_assumptions'!X$36</f>
        <v>18449.024517617807</v>
      </c>
      <c r="Y95" s="62">
        <f>Y94/'1_MODEL_assumptions'!Y$36</f>
        <v>17050.559754504564</v>
      </c>
      <c r="Z95" s="62">
        <f>Z94/'1_MODEL_assumptions'!Z$36</f>
        <v>15756.112636057265</v>
      </c>
      <c r="AA95" s="62">
        <f>AA94/'1_MODEL_assumptions'!AA$36</f>
        <v>14558.058596085231</v>
      </c>
      <c r="AB95" s="62">
        <f>AB94/'1_MODEL_assumptions'!AB$36</f>
        <v>13449.325495296644</v>
      </c>
      <c r="AC95" s="62">
        <f>AC94/'1_MODEL_assumptions'!AC$36</f>
        <v>12423.3539731414</v>
      </c>
      <c r="AD95" s="62">
        <f>AD94/'1_MODEL_assumptions'!AD$36</f>
        <v>11474.060622959172</v>
      </c>
      <c r="AE95" s="62">
        <f>AE94/'1_MODEL_assumptions'!AE$36</f>
        <v>10595.803790716414</v>
      </c>
      <c r="AF95" s="62">
        <f>AF94/'1_MODEL_assumptions'!AF$36</f>
        <v>9783.3518116638643</v>
      </c>
      <c r="AG95" s="62">
        <f>AG94/'1_MODEL_assumptions'!AG$36</f>
        <v>9031.8535123104666</v>
      </c>
      <c r="AH95" s="62">
        <f>AH94/'1_MODEL_assumptions'!AH$36</f>
        <v>8336.810817259613</v>
      </c>
    </row>
    <row r="97" spans="2:34" x14ac:dyDescent="0.2">
      <c r="B97" s="1" t="s">
        <v>329</v>
      </c>
    </row>
    <row r="98" spans="2:34" x14ac:dyDescent="0.2">
      <c r="C98" s="1" t="s">
        <v>156</v>
      </c>
    </row>
    <row r="99" spans="2:34" x14ac:dyDescent="0.2">
      <c r="D99" t="s">
        <v>330</v>
      </c>
      <c r="E99" t="s">
        <v>140</v>
      </c>
      <c r="I99" s="12">
        <f t="shared" ref="I99:AG99" si="50">(SUM(I21:I23)-SUM(I13:I15))</f>
        <v>0</v>
      </c>
      <c r="J99" s="12">
        <f t="shared" si="50"/>
        <v>2013726.4800300002</v>
      </c>
      <c r="K99" s="12">
        <f t="shared" si="50"/>
        <v>4186194.5219040001</v>
      </c>
      <c r="L99" s="12">
        <f t="shared" si="50"/>
        <v>5247809.2797840005</v>
      </c>
      <c r="M99" s="12">
        <f t="shared" si="50"/>
        <v>26806762.297080003</v>
      </c>
      <c r="N99" s="12">
        <f t="shared" si="50"/>
        <v>37593771.869430006</v>
      </c>
      <c r="O99" s="12">
        <f t="shared" si="50"/>
        <v>43083186.41178</v>
      </c>
      <c r="P99" s="12">
        <f t="shared" si="50"/>
        <v>45167004.149130002</v>
      </c>
      <c r="Q99" s="12">
        <f t="shared" si="50"/>
        <v>47250821.886480004</v>
      </c>
      <c r="R99" s="12">
        <f t="shared" si="50"/>
        <v>49334639.623830006</v>
      </c>
      <c r="S99" s="12">
        <f t="shared" si="50"/>
        <v>51418457.361180007</v>
      </c>
      <c r="T99" s="12">
        <f t="shared" si="50"/>
        <v>53123875.453529999</v>
      </c>
      <c r="U99" s="12">
        <f t="shared" si="50"/>
        <v>52558895.67588</v>
      </c>
      <c r="V99" s="12">
        <f t="shared" si="50"/>
        <v>51993915.898230001</v>
      </c>
      <c r="W99" s="12">
        <f t="shared" si="50"/>
        <v>51428936.120580003</v>
      </c>
      <c r="X99" s="12">
        <f t="shared" si="50"/>
        <v>50863956.342929997</v>
      </c>
      <c r="Y99" s="12">
        <f t="shared" si="50"/>
        <v>50298976.565279998</v>
      </c>
      <c r="Z99" s="12">
        <f t="shared" si="50"/>
        <v>49733996.787629999</v>
      </c>
      <c r="AA99" s="12">
        <f t="shared" si="50"/>
        <v>49169017.009980001</v>
      </c>
      <c r="AB99" s="12">
        <f t="shared" si="50"/>
        <v>48604037.232329994</v>
      </c>
      <c r="AC99" s="12">
        <f t="shared" si="50"/>
        <v>48039057.454679996</v>
      </c>
      <c r="AD99" s="12">
        <f t="shared" si="50"/>
        <v>47474077.677029997</v>
      </c>
      <c r="AE99" s="12">
        <f t="shared" si="50"/>
        <v>46909097.899379998</v>
      </c>
      <c r="AF99" s="12">
        <f t="shared" si="50"/>
        <v>46344118.121729992</v>
      </c>
      <c r="AG99" s="12">
        <f t="shared" si="50"/>
        <v>45779138.344079994</v>
      </c>
      <c r="AH99" s="12">
        <f t="shared" ref="AH99" si="51">(SUM(AH21:AH23)-SUM(AH13:AH15))</f>
        <v>45214158.566429995</v>
      </c>
    </row>
    <row r="100" spans="2:34" x14ac:dyDescent="0.2">
      <c r="D100" t="s">
        <v>331</v>
      </c>
      <c r="E100" t="s">
        <v>332</v>
      </c>
      <c r="I100" s="12">
        <f t="shared" ref="I100:AG100" si="52">I99/truckmpg</f>
        <v>0</v>
      </c>
      <c r="J100" s="12">
        <f t="shared" si="52"/>
        <v>341309.57288644067</v>
      </c>
      <c r="K100" s="12">
        <f t="shared" si="52"/>
        <v>709524.49523796607</v>
      </c>
      <c r="L100" s="12">
        <f t="shared" si="52"/>
        <v>889459.1999633899</v>
      </c>
      <c r="M100" s="12">
        <f t="shared" si="52"/>
        <v>4543519.0334033901</v>
      </c>
      <c r="N100" s="12">
        <f t="shared" si="52"/>
        <v>6371825.7405813569</v>
      </c>
      <c r="O100" s="12">
        <f t="shared" si="52"/>
        <v>7302234.9850474568</v>
      </c>
      <c r="P100" s="12">
        <f t="shared" si="52"/>
        <v>7655424.4320559325</v>
      </c>
      <c r="Q100" s="12">
        <f t="shared" si="52"/>
        <v>8008613.8790644072</v>
      </c>
      <c r="R100" s="12">
        <f t="shared" si="52"/>
        <v>8361803.3260728819</v>
      </c>
      <c r="S100" s="12">
        <f t="shared" si="52"/>
        <v>8714992.7730813567</v>
      </c>
      <c r="T100" s="12">
        <f t="shared" si="52"/>
        <v>9004046.6870389823</v>
      </c>
      <c r="U100" s="12">
        <f t="shared" si="52"/>
        <v>8908287.4026915245</v>
      </c>
      <c r="V100" s="12">
        <f t="shared" si="52"/>
        <v>8812528.1183440667</v>
      </c>
      <c r="W100" s="12">
        <f t="shared" si="52"/>
        <v>8716768.8339966107</v>
      </c>
      <c r="X100" s="12">
        <f t="shared" si="52"/>
        <v>8621009.549649151</v>
      </c>
      <c r="Y100" s="12">
        <f t="shared" si="52"/>
        <v>8525250.2653016932</v>
      </c>
      <c r="Z100" s="12">
        <f t="shared" si="52"/>
        <v>8429490.9809542373</v>
      </c>
      <c r="AA100" s="12">
        <f t="shared" si="52"/>
        <v>8333731.6966067795</v>
      </c>
      <c r="AB100" s="12">
        <f t="shared" si="52"/>
        <v>8237972.4122593207</v>
      </c>
      <c r="AC100" s="12">
        <f t="shared" si="52"/>
        <v>8142213.1279118629</v>
      </c>
      <c r="AD100" s="12">
        <f t="shared" si="52"/>
        <v>8046453.843564406</v>
      </c>
      <c r="AE100" s="12">
        <f t="shared" si="52"/>
        <v>7950694.5592169482</v>
      </c>
      <c r="AF100" s="12">
        <f t="shared" si="52"/>
        <v>7854935.2748694895</v>
      </c>
      <c r="AG100" s="12">
        <f t="shared" si="52"/>
        <v>7759175.9905220326</v>
      </c>
      <c r="AH100" s="12">
        <f t="shared" ref="AH100" si="53">AH99/truckmpg</f>
        <v>7663416.7061745748</v>
      </c>
    </row>
    <row r="101" spans="2:34" x14ac:dyDescent="0.2">
      <c r="D101" t="str">
        <f>CONCATENATE(PARAMS!B25," emissions reduction")</f>
        <v xml:space="preserve">   NOx emissions reduction</v>
      </c>
      <c r="E101" t="s">
        <v>341</v>
      </c>
      <c r="G101" s="32">
        <f>SUM(I101:AH101)</f>
        <v>5301.3824660395176</v>
      </c>
      <c r="I101" s="12">
        <f>I$99*PARAMS!$C25/PARAMS!$C$64</f>
        <v>0</v>
      </c>
      <c r="J101" s="12">
        <f>J$99*PARAMS!$C25/PARAMS!$C$64</f>
        <v>10.170685536962646</v>
      </c>
      <c r="K101" s="12">
        <f>K$99*PARAMS!$C25/PARAMS!$C$64</f>
        <v>21.143123706754341</v>
      </c>
      <c r="L101" s="12">
        <f>L$99*PARAMS!$C25/PARAMS!$C$64</f>
        <v>26.504998802936903</v>
      </c>
      <c r="M101" s="12">
        <f>M$99*PARAMS!$C25/PARAMS!$C$64</f>
        <v>135.39234463642021</v>
      </c>
      <c r="N101" s="12">
        <f>N$99*PARAMS!$C25/PARAMS!$C$64</f>
        <v>189.87406463790884</v>
      </c>
      <c r="O101" s="12">
        <f>O$99*PARAMS!$C25/PARAMS!$C$64</f>
        <v>217.59933400589162</v>
      </c>
      <c r="P101" s="12">
        <f>P$99*PARAMS!$C25/PARAMS!$C$64</f>
        <v>228.12402796662064</v>
      </c>
      <c r="Q101" s="12">
        <f>Q$99*PARAMS!$C25/PARAMS!$C$64</f>
        <v>238.6487219273497</v>
      </c>
      <c r="R101" s="12">
        <f>R$99*PARAMS!$C25/PARAMS!$C$64</f>
        <v>249.17341588807872</v>
      </c>
      <c r="S101" s="12">
        <f>S$99*PARAMS!$C25/PARAMS!$C$64</f>
        <v>259.69810984880775</v>
      </c>
      <c r="T101" s="12">
        <f>T$99*PARAMS!$C25/PARAMS!$C$64</f>
        <v>268.31162876428635</v>
      </c>
      <c r="U101" s="12">
        <f>U$99*PARAMS!$C25/PARAMS!$C$64</f>
        <v>265.45809740826246</v>
      </c>
      <c r="V101" s="12">
        <f>V$99*PARAMS!$C25/PARAMS!$C$64</f>
        <v>262.60456605223857</v>
      </c>
      <c r="W101" s="12">
        <f>W$99*PARAMS!$C25/PARAMS!$C$64</f>
        <v>259.75103469621467</v>
      </c>
      <c r="X101" s="12">
        <f>X$99*PARAMS!$C25/PARAMS!$C$64</f>
        <v>256.89750334019072</v>
      </c>
      <c r="Y101" s="12">
        <f>Y$99*PARAMS!$C25/PARAMS!$C$64</f>
        <v>254.04397198416689</v>
      </c>
      <c r="Z101" s="12">
        <f>Z$99*PARAMS!$C25/PARAMS!$C$64</f>
        <v>251.19044062814297</v>
      </c>
      <c r="AA101" s="12">
        <f>AA$99*PARAMS!$C25/PARAMS!$C$64</f>
        <v>248.3369092721191</v>
      </c>
      <c r="AB101" s="12">
        <f>AB$99*PARAMS!$C25/PARAMS!$C$64</f>
        <v>245.48337791609518</v>
      </c>
      <c r="AC101" s="12">
        <f>AC$99*PARAMS!$C25/PARAMS!$C$64</f>
        <v>242.62984656007129</v>
      </c>
      <c r="AD101" s="12">
        <f>AD$99*PARAMS!$C25/PARAMS!$C$64</f>
        <v>239.77631520404742</v>
      </c>
      <c r="AE101" s="12">
        <f>AE$99*PARAMS!$C25/PARAMS!$C$64</f>
        <v>236.9227838480235</v>
      </c>
      <c r="AF101" s="12">
        <f>AF$99*PARAMS!$C25/PARAMS!$C$64</f>
        <v>234.06925249199961</v>
      </c>
      <c r="AG101" s="12">
        <f>AG$99*PARAMS!$C25/PARAMS!$C$64</f>
        <v>231.21572113597571</v>
      </c>
      <c r="AH101" s="12">
        <f>AH$99*PARAMS!$C25/PARAMS!$C$64</f>
        <v>228.36218977995182</v>
      </c>
    </row>
    <row r="102" spans="2:34" x14ac:dyDescent="0.2">
      <c r="D102" t="str">
        <f>CONCATENATE(PARAMS!B26," emissions reduction")</f>
        <v xml:space="preserve">   VOCs emissions reduction</v>
      </c>
      <c r="E102" t="s">
        <v>341</v>
      </c>
      <c r="G102" s="32">
        <f>SUM(I102:AH102)</f>
        <v>468.71167790493212</v>
      </c>
      <c r="I102" s="12">
        <f>I$99*PARAMS!$C26/PARAMS!$C$64</f>
        <v>0</v>
      </c>
      <c r="J102" s="12">
        <f>J$99*PARAMS!$C26/PARAMS!$C$64</f>
        <v>0.89922187542800325</v>
      </c>
      <c r="K102" s="12">
        <f>K$99*PARAMS!$C26/PARAMS!$C$64</f>
        <v>1.8693291895515363</v>
      </c>
      <c r="L102" s="12">
        <f>L$99*PARAMS!$C26/PARAMS!$C$64</f>
        <v>2.3433892086404633</v>
      </c>
      <c r="M102" s="12">
        <f>M$99*PARAMS!$C26/PARAMS!$C$64</f>
        <v>11.970457411164325</v>
      </c>
      <c r="N102" s="12">
        <f>N$99*PARAMS!$C26/PARAMS!$C$64</f>
        <v>16.787355373276778</v>
      </c>
      <c r="O102" s="12">
        <f>O$99*PARAMS!$C26/PARAMS!$C$64</f>
        <v>19.238632489968506</v>
      </c>
      <c r="P102" s="12">
        <f>P$99*PARAMS!$C26/PARAMS!$C$64</f>
        <v>20.169153348889768</v>
      </c>
      <c r="Q102" s="12">
        <f>Q$99*PARAMS!$C26/PARAMS!$C$64</f>
        <v>21.099674207811034</v>
      </c>
      <c r="R102" s="12">
        <f>R$99*PARAMS!$C26/PARAMS!$C$64</f>
        <v>22.030195066732293</v>
      </c>
      <c r="S102" s="12">
        <f>S$99*PARAMS!$C26/PARAMS!$C$64</f>
        <v>22.960715925653556</v>
      </c>
      <c r="T102" s="12">
        <f>T$99*PARAMS!$C26/PARAMS!$C$64</f>
        <v>23.722263867044763</v>
      </c>
      <c r="U102" s="12">
        <f>U$99*PARAMS!$C26/PARAMS!$C$64</f>
        <v>23.469974303255661</v>
      </c>
      <c r="V102" s="12">
        <f>V$99*PARAMS!$C26/PARAMS!$C$64</f>
        <v>23.217684739466563</v>
      </c>
      <c r="W102" s="12">
        <f>W$99*PARAMS!$C26/PARAMS!$C$64</f>
        <v>22.965395175677465</v>
      </c>
      <c r="X102" s="12">
        <f>X$99*PARAMS!$C26/PARAMS!$C$64</f>
        <v>22.713105611888359</v>
      </c>
      <c r="Y102" s="12">
        <f>Y$99*PARAMS!$C26/PARAMS!$C$64</f>
        <v>22.460816048099261</v>
      </c>
      <c r="Z102" s="12">
        <f>Z$99*PARAMS!$C26/PARAMS!$C$64</f>
        <v>22.208526484310163</v>
      </c>
      <c r="AA102" s="12">
        <f>AA$99*PARAMS!$C26/PARAMS!$C$64</f>
        <v>21.956236920521064</v>
      </c>
      <c r="AB102" s="12">
        <f>AB$99*PARAMS!$C26/PARAMS!$C$64</f>
        <v>21.703947356731959</v>
      </c>
      <c r="AC102" s="12">
        <f>AC$99*PARAMS!$C26/PARAMS!$C$64</f>
        <v>21.451657792942861</v>
      </c>
      <c r="AD102" s="12">
        <f>AD$99*PARAMS!$C26/PARAMS!$C$64</f>
        <v>21.199368229153759</v>
      </c>
      <c r="AE102" s="12">
        <f>AE$99*PARAMS!$C26/PARAMS!$C$64</f>
        <v>20.947078665364657</v>
      </c>
      <c r="AF102" s="12">
        <f>AF$99*PARAMS!$C26/PARAMS!$C$64</f>
        <v>20.694789101575559</v>
      </c>
      <c r="AG102" s="12">
        <f>AG$99*PARAMS!$C26/PARAMS!$C$64</f>
        <v>20.442499537786453</v>
      </c>
      <c r="AH102" s="12">
        <f>AH$99*PARAMS!$C26/PARAMS!$C$64</f>
        <v>20.190209973997355</v>
      </c>
    </row>
    <row r="103" spans="2:34" x14ac:dyDescent="0.2">
      <c r="D103" t="str">
        <f>CONCATENATE(PARAMS!B27," emissions reduction")</f>
        <v xml:space="preserve">   PM2.5 emissions reduction</v>
      </c>
      <c r="E103" t="s">
        <v>341</v>
      </c>
      <c r="G103" s="32">
        <f>SUM(I103:AH103)</f>
        <v>38.297596985073454</v>
      </c>
      <c r="I103" s="12">
        <f>I$99*PARAMS!$C27/PARAMS!$C$64</f>
        <v>0</v>
      </c>
      <c r="J103" s="12">
        <f>J$99*PARAMS!$C27/PARAMS!$C$64</f>
        <v>7.3473818999424595E-2</v>
      </c>
      <c r="K103" s="12">
        <f>K$99*PARAMS!$C27/PARAMS!$C$64</f>
        <v>0.15273956103222872</v>
      </c>
      <c r="L103" s="12">
        <f>L$99*PARAMS!$C27/PARAMS!$C$64</f>
        <v>0.19147416145642884</v>
      </c>
      <c r="M103" s="12">
        <f>M$99*PARAMS!$C27/PARAMS!$C$64</f>
        <v>0.97808476995689753</v>
      </c>
      <c r="N103" s="12">
        <f>N$99*PARAMS!$C27/PARAMS!$C$64</f>
        <v>1.3716649292902032</v>
      </c>
      <c r="O103" s="12">
        <f>O$99*PARAMS!$C27/PARAMS!$C$64</f>
        <v>1.5719544196937978</v>
      </c>
      <c r="P103" s="12">
        <f>P$99*PARAMS!$C27/PARAMS!$C$64</f>
        <v>1.6479856229282923</v>
      </c>
      <c r="Q103" s="12">
        <f>Q$99*PARAMS!$C27/PARAMS!$C$64</f>
        <v>1.7240168261627871</v>
      </c>
      <c r="R103" s="12">
        <f>R$99*PARAMS!$C27/PARAMS!$C$64</f>
        <v>1.8000480293972816</v>
      </c>
      <c r="S103" s="12">
        <f>S$99*PARAMS!$C27/PARAMS!$C$64</f>
        <v>1.8760792326317766</v>
      </c>
      <c r="T103" s="12">
        <f>T$99*PARAMS!$C27/PARAMS!$C$64</f>
        <v>1.9383039595141485</v>
      </c>
      <c r="U103" s="12">
        <f>U$99*PARAMS!$C27/PARAMS!$C$64</f>
        <v>1.9176898282837875</v>
      </c>
      <c r="V103" s="12">
        <f>V$99*PARAMS!$C27/PARAMS!$C$64</f>
        <v>1.8970756970534266</v>
      </c>
      <c r="W103" s="12">
        <f>W$99*PARAMS!$C27/PARAMS!$C$64</f>
        <v>1.8764615658230657</v>
      </c>
      <c r="X103" s="12">
        <f>X$99*PARAMS!$C27/PARAMS!$C$64</f>
        <v>1.8558474345927045</v>
      </c>
      <c r="Y103" s="12">
        <f>Y$99*PARAMS!$C27/PARAMS!$C$64</f>
        <v>1.8352333033623436</v>
      </c>
      <c r="Z103" s="12">
        <f>Z$99*PARAMS!$C27/PARAMS!$C$64</f>
        <v>1.8146191721319829</v>
      </c>
      <c r="AA103" s="12">
        <f>AA$99*PARAMS!$C27/PARAMS!$C$64</f>
        <v>1.7940050409016219</v>
      </c>
      <c r="AB103" s="12">
        <f>AB$99*PARAMS!$C27/PARAMS!$C$64</f>
        <v>1.7733909096712608</v>
      </c>
      <c r="AC103" s="12">
        <f>AC$99*PARAMS!$C27/PARAMS!$C$64</f>
        <v>1.7527767784408999</v>
      </c>
      <c r="AD103" s="12">
        <f>AD$99*PARAMS!$C27/PARAMS!$C$64</f>
        <v>1.7321626472105389</v>
      </c>
      <c r="AE103" s="12">
        <f>AE$99*PARAMS!$C27/PARAMS!$C$64</f>
        <v>1.711548515980178</v>
      </c>
      <c r="AF103" s="12">
        <f>AF$99*PARAMS!$C27/PARAMS!$C$64</f>
        <v>1.6909343847498168</v>
      </c>
      <c r="AG103" s="12">
        <f>AG$99*PARAMS!$C27/PARAMS!$C$64</f>
        <v>1.6703202535194559</v>
      </c>
      <c r="AH103" s="12">
        <f>AH$99*PARAMS!$C27/PARAMS!$C$64</f>
        <v>1.649706122289095</v>
      </c>
    </row>
    <row r="104" spans="2:34" x14ac:dyDescent="0.2">
      <c r="D104" t="str">
        <f>CONCATENATE(PARAMS!B28," emissions reduction")</f>
        <v xml:space="preserve">   SO2 emissions reduction</v>
      </c>
      <c r="E104" t="s">
        <v>341</v>
      </c>
      <c r="G104" s="32">
        <f>SUM(I104:AH104)</f>
        <v>17.239703778779287</v>
      </c>
      <c r="I104" s="12">
        <f>I$99*PARAMS!$C28/PARAMS!$C$64</f>
        <v>0</v>
      </c>
      <c r="J104" s="12">
        <f>J$99*PARAMS!$C28/PARAMS!$C$64</f>
        <v>3.307431731394038E-2</v>
      </c>
      <c r="K104" s="12">
        <f>K$99*PARAMS!$C28/PARAMS!$C$64</f>
        <v>6.8755874905746459E-2</v>
      </c>
      <c r="L104" s="12">
        <f>L$99*PARAMS!$C28/PARAMS!$C$64</f>
        <v>8.6192296244736857E-2</v>
      </c>
      <c r="M104" s="12">
        <f>M$99*PARAMS!$C28/PARAMS!$C$64</f>
        <v>0.44028589342470614</v>
      </c>
      <c r="N104" s="12">
        <f>N$99*PARAMS!$C28/PARAMS!$C$64</f>
        <v>0.61745641832096765</v>
      </c>
      <c r="O104" s="12">
        <f>O$99*PARAMS!$C28/PARAMS!$C$64</f>
        <v>0.70761694421261589</v>
      </c>
      <c r="P104" s="12">
        <f>P$99*PARAMS!$C28/PARAMS!$C$64</f>
        <v>0.74184247074415588</v>
      </c>
      <c r="Q104" s="12">
        <f>Q$99*PARAMS!$C28/PARAMS!$C$64</f>
        <v>0.77606799727569575</v>
      </c>
      <c r="R104" s="12">
        <f>R$99*PARAMS!$C28/PARAMS!$C$64</f>
        <v>0.81029352380723563</v>
      </c>
      <c r="S104" s="12">
        <f>S$99*PARAMS!$C28/PARAMS!$C$64</f>
        <v>0.84451905033877561</v>
      </c>
      <c r="T104" s="12">
        <f>T$99*PARAMS!$C28/PARAMS!$C$64</f>
        <v>0.87252957694141442</v>
      </c>
      <c r="U104" s="12">
        <f>U$99*PARAMS!$C28/PARAMS!$C$64</f>
        <v>0.86325010397064761</v>
      </c>
      <c r="V104" s="12">
        <f>V$99*PARAMS!$C28/PARAMS!$C$64</f>
        <v>0.85397063099988091</v>
      </c>
      <c r="W104" s="12">
        <f>W$99*PARAMS!$C28/PARAMS!$C$64</f>
        <v>0.84469115802911432</v>
      </c>
      <c r="X104" s="12">
        <f>X$99*PARAMS!$C28/PARAMS!$C$64</f>
        <v>0.83541168505834751</v>
      </c>
      <c r="Y104" s="12">
        <f>Y$99*PARAMS!$C28/PARAMS!$C$64</f>
        <v>0.8261322120875807</v>
      </c>
      <c r="Z104" s="12">
        <f>Z$99*PARAMS!$C28/PARAMS!$C$64</f>
        <v>0.81685273911681411</v>
      </c>
      <c r="AA104" s="12">
        <f>AA$99*PARAMS!$C28/PARAMS!$C$64</f>
        <v>0.80757326614604741</v>
      </c>
      <c r="AB104" s="12">
        <f>AB$99*PARAMS!$C28/PARAMS!$C$64</f>
        <v>0.7982937931752806</v>
      </c>
      <c r="AC104" s="12">
        <f>AC$99*PARAMS!$C28/PARAMS!$C$64</f>
        <v>0.7890143202045139</v>
      </c>
      <c r="AD104" s="12">
        <f>AD$99*PARAMS!$C28/PARAMS!$C$64</f>
        <v>0.7797348472337472</v>
      </c>
      <c r="AE104" s="12">
        <f>AE$99*PARAMS!$C28/PARAMS!$C$64</f>
        <v>0.7704553742629805</v>
      </c>
      <c r="AF104" s="12">
        <f>AF$99*PARAMS!$C28/PARAMS!$C$64</f>
        <v>0.7611759012922138</v>
      </c>
      <c r="AG104" s="12">
        <f>AG$99*PARAMS!$C28/PARAMS!$C$64</f>
        <v>0.75189642832144699</v>
      </c>
      <c r="AH104" s="12">
        <f>AH$99*PARAMS!$C28/PARAMS!$C$64</f>
        <v>0.74261695535068029</v>
      </c>
    </row>
    <row r="105" spans="2:34" x14ac:dyDescent="0.2">
      <c r="D105" t="str">
        <f>CONCATENATE(PARAMS!B29," emissions reduction")</f>
        <v xml:space="preserve">   CO2 emissions reduction</v>
      </c>
      <c r="E105" t="s">
        <v>341</v>
      </c>
      <c r="G105" s="32">
        <f>SUM(I105:AH105)</f>
        <v>1992532.4483287581</v>
      </c>
      <c r="I105" s="12">
        <f>(I100*PARAMS!$C$29)/2000</f>
        <v>0</v>
      </c>
      <c r="J105" s="12">
        <f>(J100*PARAMS!$C$29)/2000</f>
        <v>3822.6672163281351</v>
      </c>
      <c r="K105" s="12">
        <f>(K100*PARAMS!$C$29)/2000</f>
        <v>7946.6743466652197</v>
      </c>
      <c r="L105" s="12">
        <f>(L100*PARAMS!$C$29)/2000</f>
        <v>9961.9430395899653</v>
      </c>
      <c r="M105" s="12">
        <f>(M100*PARAMS!$C$29)/2000</f>
        <v>50887.413174117966</v>
      </c>
      <c r="N105" s="12">
        <f>(N100*PARAMS!$C$29)/2000</f>
        <v>71364.448294511196</v>
      </c>
      <c r="O105" s="12">
        <f>(O100*PARAMS!$C$29)/2000</f>
        <v>81785.031832531517</v>
      </c>
      <c r="P105" s="12">
        <f>(P100*PARAMS!$C$29)/2000</f>
        <v>85740.753639026429</v>
      </c>
      <c r="Q105" s="12">
        <f>(Q100*PARAMS!$C$29)/2000</f>
        <v>89696.475445521355</v>
      </c>
      <c r="R105" s="12">
        <f>(R100*PARAMS!$C$29)/2000</f>
        <v>93652.197252016282</v>
      </c>
      <c r="S105" s="12">
        <f>(S100*PARAMS!$C$29)/2000</f>
        <v>97607.919058511179</v>
      </c>
      <c r="T105" s="12">
        <f>(T100*PARAMS!$C$29)/2000</f>
        <v>100845.32289483659</v>
      </c>
      <c r="U105" s="12">
        <f>(U100*PARAMS!$C$29)/2000</f>
        <v>99772.81891014507</v>
      </c>
      <c r="V105" s="12">
        <f>(V100*PARAMS!$C$29)/2000</f>
        <v>98700.314925453538</v>
      </c>
      <c r="W105" s="12">
        <f>(W100*PARAMS!$C$29)/2000</f>
        <v>97627.810940762021</v>
      </c>
      <c r="X105" s="12">
        <f>(X100*PARAMS!$C$29)/2000</f>
        <v>96555.30695607049</v>
      </c>
      <c r="Y105" s="12">
        <f>(Y100*PARAMS!$C$29)/2000</f>
        <v>95482.802971378958</v>
      </c>
      <c r="Z105" s="12">
        <f>(Z100*PARAMS!$C$29)/2000</f>
        <v>94410.298986687456</v>
      </c>
      <c r="AA105" s="12">
        <f>(AA100*PARAMS!$C$29)/2000</f>
        <v>93337.795001995924</v>
      </c>
      <c r="AB105" s="12">
        <f>(AB100*PARAMS!$C$29)/2000</f>
        <v>92265.291017304393</v>
      </c>
      <c r="AC105" s="12">
        <f>(AC100*PARAMS!$C$29)/2000</f>
        <v>91192.787032612861</v>
      </c>
      <c r="AD105" s="12">
        <f>(AD100*PARAMS!$C$29)/2000</f>
        <v>90120.283047921344</v>
      </c>
      <c r="AE105" s="12">
        <f>(AE100*PARAMS!$C$29)/2000</f>
        <v>89047.779063229813</v>
      </c>
      <c r="AF105" s="12">
        <f>(AF100*PARAMS!$C$29)/2000</f>
        <v>87975.275078538281</v>
      </c>
      <c r="AG105" s="12">
        <f>(AG100*PARAMS!$C$29)/2000</f>
        <v>86902.77109384675</v>
      </c>
      <c r="AH105" s="12">
        <f>(AH100*PARAMS!$C$29)/2000</f>
        <v>85830.267109155233</v>
      </c>
    </row>
    <row r="106" spans="2:34" x14ac:dyDescent="0.2">
      <c r="D106" t="s">
        <v>353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2:34" x14ac:dyDescent="0.2">
      <c r="D107" t="str">
        <f>CONCATENATE(D101,": $ Savings")</f>
        <v xml:space="preserve">   NOx emissions reduction: $ Savings</v>
      </c>
      <c r="E107" t="s">
        <v>171</v>
      </c>
      <c r="G107" s="26">
        <f>SUM(I107:AH107)</f>
        <v>44001474.468128018</v>
      </c>
      <c r="I107" s="25">
        <f>I101*PARAMS!$C31</f>
        <v>0</v>
      </c>
      <c r="J107" s="25">
        <f>J101*PARAMS!$C31</f>
        <v>84416.689956789953</v>
      </c>
      <c r="K107" s="25">
        <f>K101*PARAMS!$C31</f>
        <v>175487.92676606102</v>
      </c>
      <c r="L107" s="25">
        <f>L101*PARAMS!$C31</f>
        <v>219991.4900643763</v>
      </c>
      <c r="M107" s="25">
        <f>M101*PARAMS!$C31</f>
        <v>1123756.4604822877</v>
      </c>
      <c r="N107" s="25">
        <f>N101*PARAMS!$C31</f>
        <v>1575954.7364946434</v>
      </c>
      <c r="O107" s="25">
        <f>O101*PARAMS!$C31</f>
        <v>1806074.4722489004</v>
      </c>
      <c r="P107" s="25">
        <f>P101*PARAMS!$C31</f>
        <v>1893429.4321229514</v>
      </c>
      <c r="Q107" s="25">
        <f>Q101*PARAMS!$C31</f>
        <v>1980784.3919970025</v>
      </c>
      <c r="R107" s="25">
        <f>R101*PARAMS!$C31</f>
        <v>2068139.3518710535</v>
      </c>
      <c r="S107" s="25">
        <f>S101*PARAMS!$C31</f>
        <v>2155494.3117451044</v>
      </c>
      <c r="T107" s="25">
        <f>T101*PARAMS!$C31</f>
        <v>2226986.5187435769</v>
      </c>
      <c r="U107" s="25">
        <f>U101*PARAMS!$C31</f>
        <v>2203302.2084885784</v>
      </c>
      <c r="V107" s="25">
        <f>V101*PARAMS!$C31</f>
        <v>2179617.8982335799</v>
      </c>
      <c r="W107" s="25">
        <f>W101*PARAMS!$C31</f>
        <v>2155933.5879785819</v>
      </c>
      <c r="X107" s="25">
        <f>X101*PARAMS!$C31</f>
        <v>2132249.2777235829</v>
      </c>
      <c r="Y107" s="25">
        <f>Y101*PARAMS!$C31</f>
        <v>2108564.9674685854</v>
      </c>
      <c r="Z107" s="25">
        <f>Z101*PARAMS!$C31</f>
        <v>2084880.6572135866</v>
      </c>
      <c r="AA107" s="25">
        <f>AA101*PARAMS!$C31</f>
        <v>2061196.3469585886</v>
      </c>
      <c r="AB107" s="25">
        <f>AB101*PARAMS!$C31</f>
        <v>2037512.0367035901</v>
      </c>
      <c r="AC107" s="25">
        <f>AC101*PARAMS!$C31</f>
        <v>2013827.7264485916</v>
      </c>
      <c r="AD107" s="25">
        <f>AD101*PARAMS!$C31</f>
        <v>1990143.4161935935</v>
      </c>
      <c r="AE107" s="25">
        <f>AE101*PARAMS!$C31</f>
        <v>1966459.105938595</v>
      </c>
      <c r="AF107" s="25">
        <f>AF101*PARAMS!$C31</f>
        <v>1942774.7956835967</v>
      </c>
      <c r="AG107" s="25">
        <f>AG101*PARAMS!$C31</f>
        <v>1919090.4854285985</v>
      </c>
      <c r="AH107" s="25">
        <f>AH101*PARAMS!$C31</f>
        <v>1895406.1751736002</v>
      </c>
    </row>
    <row r="108" spans="2:34" x14ac:dyDescent="0.2">
      <c r="D108" t="str">
        <f>CONCATENATE(D102,": $ Savings")</f>
        <v xml:space="preserve">   VOCs emissions reduction: $ Savings</v>
      </c>
      <c r="E108" t="s">
        <v>171</v>
      </c>
      <c r="G108" s="26">
        <f>SUM(I108:AH108)</f>
        <v>937423.35580986447</v>
      </c>
      <c r="I108" s="25">
        <f>I102*PARAMS!$C32</f>
        <v>0</v>
      </c>
      <c r="J108" s="25">
        <f>J102*PARAMS!$C32</f>
        <v>1798.4437508560065</v>
      </c>
      <c r="K108" s="25">
        <f>K102*PARAMS!$C32</f>
        <v>3738.6583791030725</v>
      </c>
      <c r="L108" s="25">
        <f>L102*PARAMS!$C32</f>
        <v>4686.778417280927</v>
      </c>
      <c r="M108" s="25">
        <f>M102*PARAMS!$C32</f>
        <v>23940.91482232865</v>
      </c>
      <c r="N108" s="25">
        <f>N102*PARAMS!$C32</f>
        <v>33574.710746553559</v>
      </c>
      <c r="O108" s="25">
        <f>O102*PARAMS!$C32</f>
        <v>38477.264979937012</v>
      </c>
      <c r="P108" s="25">
        <f>P102*PARAMS!$C32</f>
        <v>40338.306697779539</v>
      </c>
      <c r="Q108" s="25">
        <f>Q102*PARAMS!$C32</f>
        <v>42199.348415622066</v>
      </c>
      <c r="R108" s="25">
        <f>R102*PARAMS!$C32</f>
        <v>44060.390133464585</v>
      </c>
      <c r="S108" s="25">
        <f>S102*PARAMS!$C32</f>
        <v>45921.431851307112</v>
      </c>
      <c r="T108" s="25">
        <f>T102*PARAMS!$C32</f>
        <v>47444.527734089526</v>
      </c>
      <c r="U108" s="25">
        <f>U102*PARAMS!$C32</f>
        <v>46939.948606511323</v>
      </c>
      <c r="V108" s="25">
        <f>V102*PARAMS!$C32</f>
        <v>46435.369478933128</v>
      </c>
      <c r="W108" s="25">
        <f>W102*PARAMS!$C32</f>
        <v>45930.790351354932</v>
      </c>
      <c r="X108" s="25">
        <f>X102*PARAMS!$C32</f>
        <v>45426.211223776721</v>
      </c>
      <c r="Y108" s="25">
        <f>Y102*PARAMS!$C32</f>
        <v>44921.632096198518</v>
      </c>
      <c r="Z108" s="25">
        <f>Z102*PARAMS!$C32</f>
        <v>44417.052968620323</v>
      </c>
      <c r="AA108" s="25">
        <f>AA102*PARAMS!$C32</f>
        <v>43912.473841042127</v>
      </c>
      <c r="AB108" s="25">
        <f>AB102*PARAMS!$C32</f>
        <v>43407.894713463917</v>
      </c>
      <c r="AC108" s="25">
        <f>AC102*PARAMS!$C32</f>
        <v>42903.315585885721</v>
      </c>
      <c r="AD108" s="25">
        <f>AD102*PARAMS!$C32</f>
        <v>42398.736458307518</v>
      </c>
      <c r="AE108" s="25">
        <f>AE102*PARAMS!$C32</f>
        <v>41894.157330729315</v>
      </c>
      <c r="AF108" s="25">
        <f>AF102*PARAMS!$C32</f>
        <v>41389.578203151119</v>
      </c>
      <c r="AG108" s="25">
        <f>AG102*PARAMS!$C32</f>
        <v>40884.999075572909</v>
      </c>
      <c r="AH108" s="25">
        <f>AH102*PARAMS!$C32</f>
        <v>40380.419947994713</v>
      </c>
    </row>
    <row r="109" spans="2:34" x14ac:dyDescent="0.2">
      <c r="D109" t="str">
        <f>CONCATENATE(D103,": $ Savings")</f>
        <v xml:space="preserve">   PM2.5 emissions reduction: $ Savings</v>
      </c>
      <c r="E109" t="s">
        <v>171</v>
      </c>
      <c r="G109" s="26">
        <f>SUM(I109:AH109)</f>
        <v>14468832.140960747</v>
      </c>
      <c r="I109" s="25">
        <f>I103*PARAMS!$C33</f>
        <v>0</v>
      </c>
      <c r="J109" s="25">
        <f>J103*PARAMS!$C33</f>
        <v>27758.40881798261</v>
      </c>
      <c r="K109" s="25">
        <f>K103*PARAMS!$C33</f>
        <v>57705.006157976008</v>
      </c>
      <c r="L109" s="25">
        <f>L103*PARAMS!$C33</f>
        <v>72338.938198238815</v>
      </c>
      <c r="M109" s="25">
        <f>M103*PARAMS!$C33</f>
        <v>369520.42608971591</v>
      </c>
      <c r="N109" s="25">
        <f>N103*PARAMS!$C33</f>
        <v>518215.0102858388</v>
      </c>
      <c r="O109" s="25">
        <f>O103*PARAMS!$C33</f>
        <v>593884.37976031681</v>
      </c>
      <c r="P109" s="25">
        <f>P103*PARAMS!$C33</f>
        <v>622608.96834230889</v>
      </c>
      <c r="Q109" s="25">
        <f>Q103*PARAMS!$C33</f>
        <v>651333.55692430097</v>
      </c>
      <c r="R109" s="25">
        <f>R103*PARAMS!$C33</f>
        <v>680058.14550629293</v>
      </c>
      <c r="S109" s="25">
        <f>S103*PARAMS!$C33</f>
        <v>708782.73408828513</v>
      </c>
      <c r="T109" s="25">
        <f>T103*PARAMS!$C33</f>
        <v>732291.23590444529</v>
      </c>
      <c r="U109" s="25">
        <f>U103*PARAMS!$C33</f>
        <v>724503.21712561487</v>
      </c>
      <c r="V109" s="25">
        <f>V103*PARAMS!$C33</f>
        <v>716715.19834678457</v>
      </c>
      <c r="W109" s="25">
        <f>W103*PARAMS!$C33</f>
        <v>708927.17956795415</v>
      </c>
      <c r="X109" s="25">
        <f>X103*PARAMS!$C33</f>
        <v>701139.16078912374</v>
      </c>
      <c r="Y109" s="25">
        <f>Y103*PARAMS!$C33</f>
        <v>693351.14201029344</v>
      </c>
      <c r="Z109" s="25">
        <f>Z103*PARAMS!$C33</f>
        <v>685563.12323146313</v>
      </c>
      <c r="AA109" s="25">
        <f>AA103*PARAMS!$C33</f>
        <v>677775.10445263272</v>
      </c>
      <c r="AB109" s="25">
        <f>AB103*PARAMS!$C33</f>
        <v>669987.0856738023</v>
      </c>
      <c r="AC109" s="25">
        <f>AC103*PARAMS!$C33</f>
        <v>662199.066894972</v>
      </c>
      <c r="AD109" s="25">
        <f>AD103*PARAMS!$C33</f>
        <v>654411.04811614158</v>
      </c>
      <c r="AE109" s="25">
        <f>AE103*PARAMS!$C33</f>
        <v>646623.02933731128</v>
      </c>
      <c r="AF109" s="25">
        <f>AF103*PARAMS!$C33</f>
        <v>638835.01055848075</v>
      </c>
      <c r="AG109" s="25">
        <f>AG103*PARAMS!$C33</f>
        <v>631046.99177965045</v>
      </c>
      <c r="AH109" s="25">
        <f>AH103*PARAMS!$C33</f>
        <v>623258.97300082003</v>
      </c>
    </row>
    <row r="110" spans="2:34" x14ac:dyDescent="0.2">
      <c r="D110" t="str">
        <f>CONCATENATE(D104,": $ Savings")</f>
        <v xml:space="preserve">   SO2 emissions reduction: $ Savings</v>
      </c>
      <c r="E110" t="s">
        <v>171</v>
      </c>
      <c r="G110" s="26">
        <f>SUM(I110:AH110)</f>
        <v>843021.5147823072</v>
      </c>
      <c r="I110" s="25">
        <f>I104*PARAMS!$C34</f>
        <v>0</v>
      </c>
      <c r="J110" s="25">
        <f>J104*PARAMS!$C34</f>
        <v>1617.3341166516846</v>
      </c>
      <c r="K110" s="25">
        <f>K104*PARAMS!$C34</f>
        <v>3362.1622828910017</v>
      </c>
      <c r="L110" s="25">
        <f>L104*PARAMS!$C34</f>
        <v>4214.8032863676326</v>
      </c>
      <c r="M110" s="25">
        <f>M104*PARAMS!$C34</f>
        <v>21529.980188468129</v>
      </c>
      <c r="N110" s="25">
        <f>N104*PARAMS!$C34</f>
        <v>30193.618855895318</v>
      </c>
      <c r="O110" s="25">
        <f>O104*PARAMS!$C34</f>
        <v>34602.46857199692</v>
      </c>
      <c r="P110" s="25">
        <f>P104*PARAMS!$C34</f>
        <v>36276.096819389226</v>
      </c>
      <c r="Q110" s="25">
        <f>Q104*PARAMS!$C34</f>
        <v>37949.725066781524</v>
      </c>
      <c r="R110" s="25">
        <f>R104*PARAMS!$C34</f>
        <v>39623.353314173823</v>
      </c>
      <c r="S110" s="25">
        <f>S104*PARAMS!$C34</f>
        <v>41296.981561566128</v>
      </c>
      <c r="T110" s="25">
        <f>T104*PARAMS!$C34</f>
        <v>42666.696312435168</v>
      </c>
      <c r="U110" s="25">
        <f>U104*PARAMS!$C34</f>
        <v>42212.930084164669</v>
      </c>
      <c r="V110" s="25">
        <f>V104*PARAMS!$C34</f>
        <v>41759.163855894178</v>
      </c>
      <c r="W110" s="25">
        <f>W104*PARAMS!$C34</f>
        <v>41305.397627623694</v>
      </c>
      <c r="X110" s="25">
        <f>X104*PARAMS!$C34</f>
        <v>40851.631399353195</v>
      </c>
      <c r="Y110" s="25">
        <f>Y104*PARAMS!$C34</f>
        <v>40397.865171082696</v>
      </c>
      <c r="Z110" s="25">
        <f>Z104*PARAMS!$C34</f>
        <v>39944.098942812212</v>
      </c>
      <c r="AA110" s="25">
        <f>AA104*PARAMS!$C34</f>
        <v>39490.332714541721</v>
      </c>
      <c r="AB110" s="25">
        <f>AB104*PARAMS!$C34</f>
        <v>39036.566486271222</v>
      </c>
      <c r="AC110" s="25">
        <f>AC104*PARAMS!$C34</f>
        <v>38582.800258000731</v>
      </c>
      <c r="AD110" s="25">
        <f>AD104*PARAMS!$C34</f>
        <v>38129.034029730239</v>
      </c>
      <c r="AE110" s="25">
        <f>AE104*PARAMS!$C34</f>
        <v>37675.267801459748</v>
      </c>
      <c r="AF110" s="25">
        <f>AF104*PARAMS!$C34</f>
        <v>37221.501573189256</v>
      </c>
      <c r="AG110" s="25">
        <f>AG104*PARAMS!$C34</f>
        <v>36767.735344918758</v>
      </c>
      <c r="AH110" s="25">
        <f>AH104*PARAMS!$C34</f>
        <v>36313.969116648266</v>
      </c>
    </row>
    <row r="111" spans="2:34" x14ac:dyDescent="0.2">
      <c r="D111" t="s">
        <v>350</v>
      </c>
      <c r="E111" t="s">
        <v>351</v>
      </c>
      <c r="I111" s="25">
        <v>1</v>
      </c>
      <c r="J111" s="25">
        <v>1</v>
      </c>
      <c r="K111" s="25">
        <v>1</v>
      </c>
      <c r="L111" s="25">
        <v>1</v>
      </c>
      <c r="M111" s="25">
        <v>1</v>
      </c>
      <c r="N111" s="25">
        <v>1</v>
      </c>
      <c r="O111" s="25">
        <v>1</v>
      </c>
      <c r="P111" s="25">
        <v>1</v>
      </c>
      <c r="Q111" s="25">
        <v>1</v>
      </c>
      <c r="R111" s="25">
        <v>1</v>
      </c>
      <c r="S111" s="25">
        <v>1</v>
      </c>
      <c r="T111" s="25">
        <v>1</v>
      </c>
      <c r="U111" s="25">
        <v>1</v>
      </c>
      <c r="V111" s="25">
        <v>1</v>
      </c>
      <c r="W111" s="25">
        <v>1</v>
      </c>
      <c r="X111" s="25">
        <v>2</v>
      </c>
      <c r="Y111" s="25">
        <v>2</v>
      </c>
      <c r="Z111" s="25">
        <v>2</v>
      </c>
      <c r="AA111" s="25">
        <v>2</v>
      </c>
      <c r="AB111" s="25">
        <v>2</v>
      </c>
      <c r="AC111" s="25">
        <v>2</v>
      </c>
      <c r="AD111" s="25">
        <v>2</v>
      </c>
      <c r="AE111" s="25">
        <v>2</v>
      </c>
      <c r="AF111" s="25">
        <v>2</v>
      </c>
      <c r="AG111" s="25">
        <v>2</v>
      </c>
      <c r="AH111" s="25">
        <v>2</v>
      </c>
    </row>
    <row r="112" spans="2:34" x14ac:dyDescent="0.2">
      <c r="D112" t="str">
        <f>CONCATENATE(D105,": $ Savings")</f>
        <v xml:space="preserve">   CO2 emissions reduction: $ Savings</v>
      </c>
      <c r="E112" t="s">
        <v>171</v>
      </c>
      <c r="G112" s="26">
        <f>SUM(I112:AH112)</f>
        <v>2995653.1056874995</v>
      </c>
      <c r="I112" s="25">
        <f>I$111*I105</f>
        <v>0</v>
      </c>
      <c r="J112" s="25">
        <f t="shared" ref="J112:AG112" si="54">J111*J105</f>
        <v>3822.6672163281351</v>
      </c>
      <c r="K112" s="25">
        <f t="shared" si="54"/>
        <v>7946.6743466652197</v>
      </c>
      <c r="L112" s="25">
        <f t="shared" si="54"/>
        <v>9961.9430395899653</v>
      </c>
      <c r="M112" s="25">
        <f t="shared" si="54"/>
        <v>50887.413174117966</v>
      </c>
      <c r="N112" s="25">
        <f t="shared" si="54"/>
        <v>71364.448294511196</v>
      </c>
      <c r="O112" s="25">
        <f t="shared" si="54"/>
        <v>81785.031832531517</v>
      </c>
      <c r="P112" s="25">
        <f t="shared" si="54"/>
        <v>85740.753639026429</v>
      </c>
      <c r="Q112" s="25">
        <f t="shared" si="54"/>
        <v>89696.475445521355</v>
      </c>
      <c r="R112" s="25">
        <f t="shared" si="54"/>
        <v>93652.197252016282</v>
      </c>
      <c r="S112" s="25">
        <f t="shared" si="54"/>
        <v>97607.919058511179</v>
      </c>
      <c r="T112" s="25">
        <f t="shared" si="54"/>
        <v>100845.32289483659</v>
      </c>
      <c r="U112" s="25">
        <f t="shared" si="54"/>
        <v>99772.81891014507</v>
      </c>
      <c r="V112" s="25">
        <f t="shared" si="54"/>
        <v>98700.314925453538</v>
      </c>
      <c r="W112" s="25">
        <f t="shared" si="54"/>
        <v>97627.810940762021</v>
      </c>
      <c r="X112" s="25">
        <f t="shared" si="54"/>
        <v>193110.61391214098</v>
      </c>
      <c r="Y112" s="25">
        <f t="shared" si="54"/>
        <v>190965.60594275792</v>
      </c>
      <c r="Z112" s="25">
        <f t="shared" si="54"/>
        <v>188820.59797337491</v>
      </c>
      <c r="AA112" s="25">
        <f t="shared" si="54"/>
        <v>186675.59000399185</v>
      </c>
      <c r="AB112" s="25">
        <f t="shared" si="54"/>
        <v>184530.58203460879</v>
      </c>
      <c r="AC112" s="25">
        <f t="shared" si="54"/>
        <v>182385.57406522572</v>
      </c>
      <c r="AD112" s="25">
        <f t="shared" si="54"/>
        <v>180240.56609584269</v>
      </c>
      <c r="AE112" s="25">
        <f t="shared" si="54"/>
        <v>178095.55812645963</v>
      </c>
      <c r="AF112" s="25">
        <f t="shared" si="54"/>
        <v>175950.55015707656</v>
      </c>
      <c r="AG112" s="25">
        <f t="shared" si="54"/>
        <v>173805.5421876935</v>
      </c>
      <c r="AH112" s="25">
        <f t="shared" ref="AH112" si="55">AH111*AH105</f>
        <v>171660.53421831047</v>
      </c>
    </row>
    <row r="113" spans="3:34" x14ac:dyDescent="0.2">
      <c r="D113" t="s">
        <v>352</v>
      </c>
      <c r="E113" t="s">
        <v>171</v>
      </c>
      <c r="G113" s="26">
        <f>SUM(G107:G112)</f>
        <v>63246404.58536844</v>
      </c>
      <c r="I113" s="25">
        <f t="shared" ref="I113:AG113" si="56">SUM(I107:I112)</f>
        <v>1</v>
      </c>
      <c r="J113" s="25">
        <f t="shared" si="56"/>
        <v>119414.54385860839</v>
      </c>
      <c r="K113" s="25">
        <f t="shared" si="56"/>
        <v>248241.4279326963</v>
      </c>
      <c r="L113" s="25">
        <f t="shared" si="56"/>
        <v>311194.95300585363</v>
      </c>
      <c r="M113" s="25">
        <f t="shared" si="56"/>
        <v>1589636.1947569184</v>
      </c>
      <c r="N113" s="25">
        <f t="shared" si="56"/>
        <v>2229303.5246774424</v>
      </c>
      <c r="O113" s="25">
        <f t="shared" si="56"/>
        <v>2554824.6173936827</v>
      </c>
      <c r="P113" s="25">
        <f t="shared" si="56"/>
        <v>2678394.5576214553</v>
      </c>
      <c r="Q113" s="25">
        <f t="shared" si="56"/>
        <v>2801964.4978492288</v>
      </c>
      <c r="R113" s="25">
        <f t="shared" si="56"/>
        <v>2925534.4380770009</v>
      </c>
      <c r="S113" s="25">
        <f t="shared" si="56"/>
        <v>3049104.3783047735</v>
      </c>
      <c r="T113" s="25">
        <f t="shared" si="56"/>
        <v>3150235.3015893837</v>
      </c>
      <c r="U113" s="25">
        <f t="shared" si="56"/>
        <v>3116732.1232150146</v>
      </c>
      <c r="V113" s="25">
        <f t="shared" si="56"/>
        <v>3083228.944840645</v>
      </c>
      <c r="W113" s="25">
        <f t="shared" si="56"/>
        <v>3049725.7664662767</v>
      </c>
      <c r="X113" s="25">
        <f t="shared" si="56"/>
        <v>3112778.8950479776</v>
      </c>
      <c r="Y113" s="25">
        <f t="shared" si="56"/>
        <v>3078203.2126889178</v>
      </c>
      <c r="Z113" s="25">
        <f t="shared" si="56"/>
        <v>3043627.530329857</v>
      </c>
      <c r="AA113" s="25">
        <f t="shared" si="56"/>
        <v>3009051.8479707972</v>
      </c>
      <c r="AB113" s="25">
        <f t="shared" si="56"/>
        <v>2974476.165611736</v>
      </c>
      <c r="AC113" s="25">
        <f t="shared" si="56"/>
        <v>2939900.4832526757</v>
      </c>
      <c r="AD113" s="25">
        <f t="shared" si="56"/>
        <v>2905324.8008936155</v>
      </c>
      <c r="AE113" s="25">
        <f t="shared" si="56"/>
        <v>2870749.1185345552</v>
      </c>
      <c r="AF113" s="25">
        <f t="shared" si="56"/>
        <v>2836173.4361754945</v>
      </c>
      <c r="AG113" s="25">
        <f t="shared" si="56"/>
        <v>2801597.7538164342</v>
      </c>
      <c r="AH113" s="25">
        <f t="shared" ref="AH113" si="57">SUM(AH107:AH112)</f>
        <v>2767022.0714573734</v>
      </c>
    </row>
    <row r="114" spans="3:34" s="61" customFormat="1" x14ac:dyDescent="0.2">
      <c r="D114" s="61" t="s">
        <v>318</v>
      </c>
      <c r="E114" s="61" t="s">
        <v>171</v>
      </c>
      <c r="G114" s="62">
        <f>SUM(H114:AG114)</f>
        <v>26725300.89181672</v>
      </c>
      <c r="H114" s="62"/>
      <c r="I114" s="62">
        <f>I113/'1_MODEL_assumptions'!I$36</f>
        <v>1.07</v>
      </c>
      <c r="J114" s="62">
        <f>J113/'1_MODEL_assumptions'!J$36</f>
        <v>119414.54385860839</v>
      </c>
      <c r="K114" s="62">
        <f>K113/'1_MODEL_assumptions'!K$36</f>
        <v>232001.3345165386</v>
      </c>
      <c r="L114" s="62">
        <f>L113/'1_MODEL_assumptions'!L$36</f>
        <v>271809.72399847466</v>
      </c>
      <c r="M114" s="62">
        <f>M113/'1_MODEL_assumptions'!M$36</f>
        <v>1297616.6508089253</v>
      </c>
      <c r="N114" s="62">
        <f>N113/'1_MODEL_assumptions'!N$36</f>
        <v>1700724.9851770927</v>
      </c>
      <c r="O114" s="62">
        <f>O113/'1_MODEL_assumptions'!O$36</f>
        <v>1821554.6432063465</v>
      </c>
      <c r="P114" s="62">
        <f>P113/'1_MODEL_assumptions'!P$36</f>
        <v>1784727.385783525</v>
      </c>
      <c r="Q114" s="62">
        <f>Q113/'1_MODEL_assumptions'!Q$36</f>
        <v>1744922.6678053951</v>
      </c>
      <c r="R114" s="62">
        <f>R113/'1_MODEL_assumptions'!R$36</f>
        <v>1702687.6786793782</v>
      </c>
      <c r="S114" s="62">
        <f>S113/'1_MODEL_assumptions'!S$36</f>
        <v>1658510.7560210272</v>
      </c>
      <c r="T114" s="62">
        <f>T113/'1_MODEL_assumptions'!T$36</f>
        <v>1601419.8856207624</v>
      </c>
      <c r="U114" s="62">
        <f>U113/'1_MODEL_assumptions'!U$36</f>
        <v>1480736.9800092415</v>
      </c>
      <c r="V114" s="62">
        <f>V113/'1_MODEL_assumptions'!V$36</f>
        <v>1368990.5245864396</v>
      </c>
      <c r="W114" s="62">
        <f>W113/'1_MODEL_assumptions'!W$36</f>
        <v>1265527.7688931257</v>
      </c>
      <c r="X114" s="62">
        <f>X113/'1_MODEL_assumptions'!X$36</f>
        <v>1207189.3229744637</v>
      </c>
      <c r="Y114" s="62">
        <f>Y113/'1_MODEL_assumptions'!Y$36</f>
        <v>1115682.5020894222</v>
      </c>
      <c r="Z114" s="62">
        <f>Z113/'1_MODEL_assumptions'!Z$36</f>
        <v>1030981.9473289367</v>
      </c>
      <c r="AA114" s="62">
        <f>AA113/'1_MODEL_assumptions'!AA$36</f>
        <v>952588.75464625936</v>
      </c>
      <c r="AB114" s="62">
        <f>AB113/'1_MODEL_assumptions'!AB$36</f>
        <v>880040.1673631391</v>
      </c>
      <c r="AC114" s="62">
        <f>AC113/'1_MODEL_assumptions'!AC$36</f>
        <v>812906.98184195883</v>
      </c>
      <c r="AD114" s="62">
        <f>AD113/'1_MODEL_assumptions'!AD$36</f>
        <v>750791.13789732975</v>
      </c>
      <c r="AE114" s="62">
        <f>AE113/'1_MODEL_assumptions'!AE$36</f>
        <v>693323.48087896476</v>
      </c>
      <c r="AF114" s="62">
        <f>AF113/'1_MODEL_assumptions'!AF$36</f>
        <v>640161.68327684049</v>
      </c>
      <c r="AG114" s="62">
        <f>AG113/'1_MODEL_assumptions'!AG$36</f>
        <v>590988.31455452368</v>
      </c>
      <c r="AH114" s="62">
        <f>AH113/'1_MODEL_assumptions'!AH$36</f>
        <v>545509.04871153808</v>
      </c>
    </row>
    <row r="115" spans="3:34" x14ac:dyDescent="0.2"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</row>
    <row r="116" spans="3:34" x14ac:dyDescent="0.2">
      <c r="C116" s="1" t="s">
        <v>294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</row>
    <row r="117" spans="3:34" x14ac:dyDescent="0.2">
      <c r="C117" s="1"/>
      <c r="D117" t="str">
        <f>D93</f>
        <v>Total train miles reduction including empty</v>
      </c>
      <c r="E117" t="str">
        <f>E93</f>
        <v>miles</v>
      </c>
      <c r="I117" s="11">
        <f t="shared" ref="I117:AG117" si="58">I93</f>
        <v>0</v>
      </c>
      <c r="J117" s="11">
        <f t="shared" si="58"/>
        <v>1177108.9345310002</v>
      </c>
      <c r="K117" s="11">
        <f t="shared" si="58"/>
        <v>2447009.0761008007</v>
      </c>
      <c r="L117" s="11">
        <f t="shared" si="58"/>
        <v>3067568.1385768</v>
      </c>
      <c r="M117" s="11">
        <f t="shared" si="58"/>
        <v>15669694.826316001</v>
      </c>
      <c r="N117" s="11">
        <f t="shared" si="58"/>
        <v>21975161.566911004</v>
      </c>
      <c r="O117" s="11">
        <f t="shared" si="58"/>
        <v>25183958.276505999</v>
      </c>
      <c r="P117" s="11">
        <f t="shared" si="58"/>
        <v>26402038.537601002</v>
      </c>
      <c r="Q117" s="11">
        <f t="shared" si="58"/>
        <v>27620118.798696004</v>
      </c>
      <c r="R117" s="11">
        <f t="shared" si="58"/>
        <v>28838199.059791002</v>
      </c>
      <c r="S117" s="11">
        <f t="shared" si="58"/>
        <v>30056279.320886005</v>
      </c>
      <c r="T117" s="11">
        <f t="shared" si="58"/>
        <v>31053168.865481</v>
      </c>
      <c r="U117" s="11">
        <f t="shared" si="58"/>
        <v>30722914.111075997</v>
      </c>
      <c r="V117" s="11">
        <f t="shared" si="58"/>
        <v>30392659.356670998</v>
      </c>
      <c r="W117" s="11">
        <f t="shared" si="58"/>
        <v>30062404.602265999</v>
      </c>
      <c r="X117" s="11">
        <f t="shared" si="58"/>
        <v>29732149.847860999</v>
      </c>
      <c r="Y117" s="11">
        <f t="shared" si="58"/>
        <v>29401895.093456</v>
      </c>
      <c r="Z117" s="11">
        <f t="shared" si="58"/>
        <v>29071640.339050997</v>
      </c>
      <c r="AA117" s="11">
        <f t="shared" si="58"/>
        <v>28741385.584645998</v>
      </c>
      <c r="AB117" s="11">
        <f t="shared" si="58"/>
        <v>28411130.830240995</v>
      </c>
      <c r="AC117" s="11">
        <f t="shared" si="58"/>
        <v>28080876.075835995</v>
      </c>
      <c r="AD117" s="11">
        <f t="shared" si="58"/>
        <v>27750621.321430996</v>
      </c>
      <c r="AE117" s="11">
        <f t="shared" si="58"/>
        <v>27420366.567025997</v>
      </c>
      <c r="AF117" s="11">
        <f t="shared" si="58"/>
        <v>27090111.812620997</v>
      </c>
      <c r="AG117" s="11">
        <f t="shared" si="58"/>
        <v>26759857.058215998</v>
      </c>
      <c r="AH117" s="11">
        <f t="shared" ref="AH117" si="59">AH93</f>
        <v>26429602.303810991</v>
      </c>
    </row>
    <row r="118" spans="3:34" x14ac:dyDescent="0.2">
      <c r="C118" s="1"/>
      <c r="D118" t="s">
        <v>392</v>
      </c>
      <c r="E118" t="s">
        <v>358</v>
      </c>
      <c r="I118" s="11">
        <f>I117*PARAMS!$C$35</f>
        <v>0</v>
      </c>
      <c r="J118" s="11">
        <f>J117*PARAMS!$C$35</f>
        <v>21187960.821558002</v>
      </c>
      <c r="K118" s="11">
        <f>K117*PARAMS!$C$35</f>
        <v>44046163.369814411</v>
      </c>
      <c r="L118" s="11">
        <f>L117*PARAMS!$C$35</f>
        <v>55216226.494382396</v>
      </c>
      <c r="M118" s="11">
        <f>M117*PARAMS!$C$35</f>
        <v>282054506.87368804</v>
      </c>
      <c r="N118" s="11">
        <f>N117*PARAMS!$C$35</f>
        <v>395552908.2043981</v>
      </c>
      <c r="O118" s="11">
        <f>O117*PARAMS!$C$35</f>
        <v>453311248.977108</v>
      </c>
      <c r="P118" s="11">
        <f>P117*PARAMS!$C$35</f>
        <v>475236693.67681801</v>
      </c>
      <c r="Q118" s="11">
        <f>Q117*PARAMS!$C$35</f>
        <v>497162138.37652808</v>
      </c>
      <c r="R118" s="11">
        <f>R117*PARAMS!$C$35</f>
        <v>519087583.07623804</v>
      </c>
      <c r="S118" s="11">
        <f>S117*PARAMS!$C$35</f>
        <v>541013027.77594805</v>
      </c>
      <c r="T118" s="11">
        <f>T117*PARAMS!$C$35</f>
        <v>558957039.57865798</v>
      </c>
      <c r="U118" s="11">
        <f>U117*PARAMS!$C$35</f>
        <v>553012453.99936795</v>
      </c>
      <c r="V118" s="11">
        <f>V117*PARAMS!$C$35</f>
        <v>547067868.42007792</v>
      </c>
      <c r="W118" s="11">
        <f>W117*PARAMS!$C$35</f>
        <v>541123282.84078801</v>
      </c>
      <c r="X118" s="11">
        <f>X117*PARAMS!$C$35</f>
        <v>535178697.26149797</v>
      </c>
      <c r="Y118" s="11">
        <f>Y117*PARAMS!$C$35</f>
        <v>529234111.682208</v>
      </c>
      <c r="Z118" s="11">
        <f>Z117*PARAMS!$C$35</f>
        <v>523289526.10291797</v>
      </c>
      <c r="AA118" s="11">
        <f>AA117*PARAMS!$C$35</f>
        <v>517344940.52362794</v>
      </c>
      <c r="AB118" s="11">
        <f>AB117*PARAMS!$C$35</f>
        <v>511400354.9443379</v>
      </c>
      <c r="AC118" s="11">
        <f>AC117*PARAMS!$C$35</f>
        <v>505455769.36504793</v>
      </c>
      <c r="AD118" s="11">
        <f>AD117*PARAMS!$C$35</f>
        <v>499511183.7857579</v>
      </c>
      <c r="AE118" s="11">
        <f>AE117*PARAMS!$C$35</f>
        <v>493566598.20646793</v>
      </c>
      <c r="AF118" s="11">
        <f>AF117*PARAMS!$C$35</f>
        <v>487622012.62717795</v>
      </c>
      <c r="AG118" s="11">
        <f>AG117*PARAMS!$C$35</f>
        <v>481677427.04788798</v>
      </c>
      <c r="AH118" s="11">
        <f>AH117*PARAMS!$C$35</f>
        <v>475732841.46859783</v>
      </c>
    </row>
    <row r="119" spans="3:34" x14ac:dyDescent="0.2">
      <c r="C119" s="1"/>
      <c r="D119" t="str">
        <f t="shared" ref="D119:E123" si="60">D101</f>
        <v xml:space="preserve">   NOx emissions reduction</v>
      </c>
      <c r="E119" t="str">
        <f t="shared" si="60"/>
        <v>short tons</v>
      </c>
      <c r="G119" s="32">
        <f>SUM(I119:AH119)</f>
        <v>822.960341526658</v>
      </c>
      <c r="I119" s="11">
        <f>I$118*PARAMS!$C53</f>
        <v>0</v>
      </c>
      <c r="J119" s="55">
        <f>J$118*PARAMS!$C53</f>
        <v>1.5788468190471858</v>
      </c>
      <c r="K119" s="55">
        <f>K$118*PARAMS!$C53</f>
        <v>3.2821537435026533</v>
      </c>
      <c r="L119" s="55">
        <f>L$118*PARAMS!$C53</f>
        <v>4.1145046611443652</v>
      </c>
      <c r="M119" s="55">
        <f>M$118*PARAMS!$C53</f>
        <v>21.017636606272497</v>
      </c>
      <c r="N119" s="55">
        <f>N$118*PARAMS!$C53</f>
        <v>29.475108819719591</v>
      </c>
      <c r="O119" s="55">
        <f>O$118*PARAMS!$C53</f>
        <v>33.7790422359855</v>
      </c>
      <c r="P119" s="55">
        <f>P$118*PARAMS!$C53</f>
        <v>35.412843568349238</v>
      </c>
      <c r="Q119" s="55">
        <f>Q$118*PARAMS!$C53</f>
        <v>37.046644900712977</v>
      </c>
      <c r="R119" s="55">
        <f>R$118*PARAMS!$C53</f>
        <v>38.680446233076715</v>
      </c>
      <c r="S119" s="55">
        <f>S$118*PARAMS!$C53</f>
        <v>40.314247565440454</v>
      </c>
      <c r="T119" s="55">
        <f>T$118*PARAMS!$C53</f>
        <v>41.651367555148383</v>
      </c>
      <c r="U119" s="55">
        <f>U$118*PARAMS!$C53</f>
        <v>41.208399488921536</v>
      </c>
      <c r="V119" s="55">
        <f>V$118*PARAMS!$C53</f>
        <v>40.765431422694682</v>
      </c>
      <c r="W119" s="55">
        <f>W$118*PARAMS!$C53</f>
        <v>40.322463356467836</v>
      </c>
      <c r="X119" s="55">
        <f>X$118*PARAMS!$C53</f>
        <v>39.879495290240989</v>
      </c>
      <c r="Y119" s="55">
        <f>Y$118*PARAMS!$C53</f>
        <v>39.436527224014142</v>
      </c>
      <c r="Z119" s="55">
        <f>Z$118*PARAMS!$C53</f>
        <v>38.993559157787288</v>
      </c>
      <c r="AA119" s="55">
        <f>AA$118*PARAMS!$C53</f>
        <v>38.550591091560435</v>
      </c>
      <c r="AB119" s="55">
        <f>AB$118*PARAMS!$C53</f>
        <v>38.107623025333588</v>
      </c>
      <c r="AC119" s="55">
        <f>AC$118*PARAMS!$C53</f>
        <v>37.664654959106741</v>
      </c>
      <c r="AD119" s="55">
        <f>AD$118*PARAMS!$C53</f>
        <v>37.221686892879887</v>
      </c>
      <c r="AE119" s="55">
        <f>AE$118*PARAMS!$C53</f>
        <v>36.778718826653041</v>
      </c>
      <c r="AF119" s="55">
        <f>AF$118*PARAMS!$C53</f>
        <v>36.335750760426194</v>
      </c>
      <c r="AG119" s="55">
        <f>AG$118*PARAMS!$C53</f>
        <v>35.892782694199347</v>
      </c>
      <c r="AH119" s="55">
        <f>AH$118*PARAMS!$C53</f>
        <v>35.449814627972486</v>
      </c>
    </row>
    <row r="120" spans="3:34" x14ac:dyDescent="0.2">
      <c r="C120" s="1"/>
      <c r="D120" t="str">
        <f t="shared" si="60"/>
        <v xml:space="preserve">   VOCs emissions reduction</v>
      </c>
      <c r="E120" t="str">
        <f t="shared" si="60"/>
        <v>short tons</v>
      </c>
      <c r="G120" s="32">
        <f>SUM(I120:AH120)</f>
        <v>88.626498318255443</v>
      </c>
      <c r="I120" s="11">
        <f>I$118*PARAMS!$C54</f>
        <v>0</v>
      </c>
      <c r="J120" s="55">
        <f>J$118*PARAMS!$C54</f>
        <v>0.17002965743585077</v>
      </c>
      <c r="K120" s="55">
        <f>K$118*PARAMS!$C54</f>
        <v>0.35346271083874731</v>
      </c>
      <c r="L120" s="55">
        <f>L$118*PARAMS!$C54</f>
        <v>0.44310050196939316</v>
      </c>
      <c r="M120" s="55">
        <f>M$118*PARAMS!$C54</f>
        <v>2.2634377883678072</v>
      </c>
      <c r="N120" s="55">
        <f>N$118*PARAMS!$C54</f>
        <v>3.174242488277494</v>
      </c>
      <c r="O120" s="55">
        <f>O$118*PARAMS!$C54</f>
        <v>3.6377430100292076</v>
      </c>
      <c r="P120" s="55">
        <f>P$118*PARAMS!$C54</f>
        <v>3.8136908458222254</v>
      </c>
      <c r="Q120" s="55">
        <f>Q$118*PARAMS!$C54</f>
        <v>3.989638681615244</v>
      </c>
      <c r="R120" s="55">
        <f>R$118*PARAMS!$C54</f>
        <v>4.1655865174082614</v>
      </c>
      <c r="S120" s="55">
        <f>S$118*PARAMS!$C54</f>
        <v>4.3415343532012791</v>
      </c>
      <c r="T120" s="55">
        <f>T$118*PARAMS!$C54</f>
        <v>4.4855318905544408</v>
      </c>
      <c r="U120" s="55">
        <f>U$118*PARAMS!$C54</f>
        <v>4.4378276372684722</v>
      </c>
      <c r="V120" s="55">
        <f>V$118*PARAMS!$C54</f>
        <v>4.3901233839825036</v>
      </c>
      <c r="W120" s="55">
        <f>W$118*PARAMS!$C54</f>
        <v>4.3424191306965367</v>
      </c>
      <c r="X120" s="55">
        <f>X$118*PARAMS!$C54</f>
        <v>4.2947148774105681</v>
      </c>
      <c r="Y120" s="55">
        <f>Y$118*PARAMS!$C54</f>
        <v>4.2470106241245995</v>
      </c>
      <c r="Z120" s="55">
        <f>Z$118*PARAMS!$C54</f>
        <v>4.1993063708386309</v>
      </c>
      <c r="AA120" s="55">
        <f>AA$118*PARAMS!$C54</f>
        <v>4.1516021175526623</v>
      </c>
      <c r="AB120" s="55">
        <f>AB$118*PARAMS!$C54</f>
        <v>4.1038978642666937</v>
      </c>
      <c r="AC120" s="55">
        <f>AC$118*PARAMS!$C54</f>
        <v>4.0561936109807259</v>
      </c>
      <c r="AD120" s="55">
        <f>AD$118*PARAMS!$C54</f>
        <v>4.0084893576947573</v>
      </c>
      <c r="AE120" s="55">
        <f>AE$118*PARAMS!$C54</f>
        <v>3.9607851044087887</v>
      </c>
      <c r="AF120" s="55">
        <f>AF$118*PARAMS!$C54</f>
        <v>3.9130808511228206</v>
      </c>
      <c r="AG120" s="55">
        <f>AG$118*PARAMS!$C54</f>
        <v>3.8653765978368524</v>
      </c>
      <c r="AH120" s="55">
        <f>AH$118*PARAMS!$C54</f>
        <v>3.8176723445508829</v>
      </c>
    </row>
    <row r="121" spans="3:34" x14ac:dyDescent="0.2">
      <c r="C121" s="1"/>
      <c r="D121" t="str">
        <f t="shared" si="60"/>
        <v xml:space="preserve">   PM2.5 emissions reduction</v>
      </c>
      <c r="E121" t="str">
        <f t="shared" si="60"/>
        <v>short tons</v>
      </c>
      <c r="G121" s="32">
        <f>SUM(I121:AH121)</f>
        <v>3.7982784993538043</v>
      </c>
      <c r="I121" s="11">
        <f>I$118*PARAMS!$C55</f>
        <v>0</v>
      </c>
      <c r="J121" s="55">
        <f>J$118*PARAMS!$C55</f>
        <v>7.2869853186793175E-3</v>
      </c>
      <c r="K121" s="55">
        <f>K$118*PARAMS!$C55</f>
        <v>1.5148401893089167E-2</v>
      </c>
      <c r="L121" s="55">
        <f>L$118*PARAMS!$C55</f>
        <v>1.8990021512973989E-2</v>
      </c>
      <c r="M121" s="55">
        <f>M$118*PARAMS!$C55</f>
        <v>9.7004476644334592E-2</v>
      </c>
      <c r="N121" s="55">
        <f>N$118*PARAMS!$C55</f>
        <v>0.13603896378332117</v>
      </c>
      <c r="O121" s="55">
        <f>O$118*PARAMS!$C55</f>
        <v>0.15590327185839459</v>
      </c>
      <c r="P121" s="55">
        <f>P$118*PARAMS!$C55</f>
        <v>0.16344389339238108</v>
      </c>
      <c r="Q121" s="55">
        <f>Q$118*PARAMS!$C55</f>
        <v>0.17098451492636757</v>
      </c>
      <c r="R121" s="55">
        <f>R$118*PARAMS!$C55</f>
        <v>0.17852513646035403</v>
      </c>
      <c r="S121" s="55">
        <f>S$118*PARAMS!$C55</f>
        <v>0.18606575799434052</v>
      </c>
      <c r="T121" s="55">
        <f>T$118*PARAMS!$C55</f>
        <v>0.19223708102376175</v>
      </c>
      <c r="U121" s="55">
        <f>U$118*PARAMS!$C55</f>
        <v>0.19019261302579166</v>
      </c>
      <c r="V121" s="55">
        <f>V$118*PARAMS!$C55</f>
        <v>0.18814814502782157</v>
      </c>
      <c r="W121" s="55">
        <f>W$118*PARAMS!$C55</f>
        <v>0.18610367702985153</v>
      </c>
      <c r="X121" s="55">
        <f>X$118*PARAMS!$C55</f>
        <v>0.18405920903188144</v>
      </c>
      <c r="Y121" s="55">
        <f>Y$118*PARAMS!$C55</f>
        <v>0.18201474103391138</v>
      </c>
      <c r="Z121" s="55">
        <f>Z$118*PARAMS!$C55</f>
        <v>0.17997027303594129</v>
      </c>
      <c r="AA121" s="55">
        <f>AA$118*PARAMS!$C55</f>
        <v>0.17792580503797123</v>
      </c>
      <c r="AB121" s="55">
        <f>AB$118*PARAMS!$C55</f>
        <v>0.17588133704000114</v>
      </c>
      <c r="AC121" s="55">
        <f>AC$118*PARAMS!$C55</f>
        <v>0.17383686904203108</v>
      </c>
      <c r="AD121" s="55">
        <f>AD$118*PARAMS!$C55</f>
        <v>0.17179240104406099</v>
      </c>
      <c r="AE121" s="55">
        <f>AE$118*PARAMS!$C55</f>
        <v>0.16974793304609093</v>
      </c>
      <c r="AF121" s="55">
        <f>AF$118*PARAMS!$C55</f>
        <v>0.16770346504812086</v>
      </c>
      <c r="AG121" s="55">
        <f>AG$118*PARAMS!$C55</f>
        <v>0.1656589970501508</v>
      </c>
      <c r="AH121" s="55">
        <f>AH$118*PARAMS!$C55</f>
        <v>0.16361452905218068</v>
      </c>
    </row>
    <row r="122" spans="3:34" x14ac:dyDescent="0.2">
      <c r="C122" s="1"/>
      <c r="D122" t="str">
        <f t="shared" si="60"/>
        <v xml:space="preserve">   SO2 emissions reduction</v>
      </c>
      <c r="E122" t="str">
        <f t="shared" si="60"/>
        <v>short tons</v>
      </c>
      <c r="G122" s="32">
        <f>SUM(I122:AH122)</f>
        <v>0</v>
      </c>
      <c r="I122" s="11" t="s">
        <v>394</v>
      </c>
      <c r="J122" s="11" t="s">
        <v>394</v>
      </c>
      <c r="K122" s="11" t="s">
        <v>394</v>
      </c>
      <c r="L122" s="11" t="s">
        <v>394</v>
      </c>
      <c r="M122" s="11" t="s">
        <v>394</v>
      </c>
      <c r="N122" s="11" t="s">
        <v>394</v>
      </c>
      <c r="O122" s="11" t="s">
        <v>394</v>
      </c>
      <c r="P122" s="11" t="s">
        <v>394</v>
      </c>
      <c r="Q122" s="11" t="s">
        <v>394</v>
      </c>
      <c r="R122" s="11" t="s">
        <v>394</v>
      </c>
      <c r="S122" s="11" t="s">
        <v>394</v>
      </c>
      <c r="T122" s="11" t="s">
        <v>394</v>
      </c>
      <c r="U122" s="11" t="s">
        <v>394</v>
      </c>
      <c r="V122" s="11" t="s">
        <v>394</v>
      </c>
      <c r="W122" s="11" t="s">
        <v>394</v>
      </c>
      <c r="X122" s="11" t="s">
        <v>394</v>
      </c>
      <c r="Y122" s="11" t="s">
        <v>394</v>
      </c>
      <c r="Z122" s="11" t="s">
        <v>394</v>
      </c>
      <c r="AA122" s="11" t="s">
        <v>394</v>
      </c>
      <c r="AB122" s="11" t="s">
        <v>394</v>
      </c>
      <c r="AC122" s="11" t="s">
        <v>394</v>
      </c>
      <c r="AD122" s="11" t="s">
        <v>394</v>
      </c>
      <c r="AE122" s="11" t="s">
        <v>394</v>
      </c>
      <c r="AF122" s="11" t="s">
        <v>394</v>
      </c>
      <c r="AG122" s="11" t="s">
        <v>394</v>
      </c>
      <c r="AH122" s="11" t="s">
        <v>394</v>
      </c>
    </row>
    <row r="123" spans="3:34" x14ac:dyDescent="0.2">
      <c r="C123" s="1"/>
      <c r="D123" t="str">
        <f t="shared" si="60"/>
        <v xml:space="preserve">   CO2 emissions reduction</v>
      </c>
      <c r="E123" t="str">
        <f t="shared" si="60"/>
        <v>short tons</v>
      </c>
      <c r="G123" s="32">
        <f>SUM(I123:AH123)</f>
        <v>27610106.41375225</v>
      </c>
      <c r="I123" s="11">
        <f>I$118*PARAMS!$C57</f>
        <v>0</v>
      </c>
      <c r="J123" s="11">
        <f>J$118*PARAMS!$C57</f>
        <v>52969.902053895006</v>
      </c>
      <c r="K123" s="11">
        <f>K$118*PARAMS!$C57</f>
        <v>110115.40842453603</v>
      </c>
      <c r="L123" s="11">
        <f>L$118*PARAMS!$C57</f>
        <v>138040.56623595598</v>
      </c>
      <c r="M123" s="11">
        <f>M$118*PARAMS!$C57</f>
        <v>705136.26718422014</v>
      </c>
      <c r="N123" s="11">
        <f>N$118*PARAMS!$C57</f>
        <v>988882.27051099529</v>
      </c>
      <c r="O123" s="11">
        <f>O$118*PARAMS!$C57</f>
        <v>1133278.1224427701</v>
      </c>
      <c r="P123" s="11">
        <f>P$118*PARAMS!$C57</f>
        <v>1188091.7341920452</v>
      </c>
      <c r="Q123" s="11">
        <f>Q$118*PARAMS!$C57</f>
        <v>1242905.3459413203</v>
      </c>
      <c r="R123" s="11">
        <f>R$118*PARAMS!$C57</f>
        <v>1297718.9576905952</v>
      </c>
      <c r="S123" s="11">
        <f>S$118*PARAMS!$C57</f>
        <v>1352532.5694398701</v>
      </c>
      <c r="T123" s="11">
        <f>T$118*PARAMS!$C57</f>
        <v>1397392.5989466449</v>
      </c>
      <c r="U123" s="11">
        <f>U$118*PARAMS!$C57</f>
        <v>1382531.13499842</v>
      </c>
      <c r="V123" s="11">
        <f>V$118*PARAMS!$C57</f>
        <v>1367669.6710501949</v>
      </c>
      <c r="W123" s="11">
        <f>W$118*PARAMS!$C57</f>
        <v>1352808.20710197</v>
      </c>
      <c r="X123" s="11">
        <f>X$118*PARAMS!$C57</f>
        <v>1337946.7431537451</v>
      </c>
      <c r="Y123" s="11">
        <f>Y$118*PARAMS!$C57</f>
        <v>1323085.2792055199</v>
      </c>
      <c r="Z123" s="11">
        <f>Z$118*PARAMS!$C57</f>
        <v>1308223.815257295</v>
      </c>
      <c r="AA123" s="11">
        <f>AA$118*PARAMS!$C57</f>
        <v>1293362.3513090699</v>
      </c>
      <c r="AB123" s="11">
        <f>AB$118*PARAMS!$C57</f>
        <v>1278500.8873608448</v>
      </c>
      <c r="AC123" s="11">
        <f>AC$118*PARAMS!$C57</f>
        <v>1263639.4234126199</v>
      </c>
      <c r="AD123" s="11">
        <f>AD$118*PARAMS!$C57</f>
        <v>1248777.9594643947</v>
      </c>
      <c r="AE123" s="11">
        <f>AE$118*PARAMS!$C57</f>
        <v>1233916.4955161698</v>
      </c>
      <c r="AF123" s="11">
        <f>AF$118*PARAMS!$C57</f>
        <v>1219055.0315679449</v>
      </c>
      <c r="AG123" s="11">
        <f>AG$118*PARAMS!$C57</f>
        <v>1204193.56761972</v>
      </c>
      <c r="AH123" s="11">
        <f>AH$118*PARAMS!$C57</f>
        <v>1189332.1036714946</v>
      </c>
    </row>
    <row r="124" spans="3:34" x14ac:dyDescent="0.2">
      <c r="C124" s="1"/>
      <c r="D124" t="s">
        <v>353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</row>
    <row r="125" spans="3:34" x14ac:dyDescent="0.2">
      <c r="C125" s="1"/>
      <c r="D125" t="str">
        <f>CONCATENATE(D119,": $ Savings")</f>
        <v xml:space="preserve">   NOx emissions reduction: $ Savings</v>
      </c>
      <c r="E125" t="s">
        <v>171</v>
      </c>
      <c r="G125" s="26">
        <f>SUM(I125:AH125)</f>
        <v>6830570.8346712599</v>
      </c>
      <c r="I125" s="25">
        <f>I119*PARAMS!$C31</f>
        <v>0</v>
      </c>
      <c r="J125" s="25">
        <f>J119*PARAMS!$C31</f>
        <v>13104.428598091643</v>
      </c>
      <c r="K125" s="25">
        <f>K119*PARAMS!$C31</f>
        <v>27241.876071072023</v>
      </c>
      <c r="L125" s="25">
        <f>L119*PARAMS!$C31</f>
        <v>34150.388687498235</v>
      </c>
      <c r="M125" s="25">
        <f>M119*PARAMS!$C31</f>
        <v>174446.38383206172</v>
      </c>
      <c r="N125" s="25">
        <f>N119*PARAMS!$C31</f>
        <v>244643.40320367261</v>
      </c>
      <c r="O125" s="25">
        <f>O119*PARAMS!$C31</f>
        <v>280366.05055867968</v>
      </c>
      <c r="P125" s="25">
        <f>P119*PARAMS!$C31</f>
        <v>293926.60161729867</v>
      </c>
      <c r="Q125" s="25">
        <f>Q119*PARAMS!$C31</f>
        <v>307487.15267591772</v>
      </c>
      <c r="R125" s="25">
        <f>R119*PARAMS!$C31</f>
        <v>321047.70373453671</v>
      </c>
      <c r="S125" s="25">
        <f>S119*PARAMS!$C31</f>
        <v>334608.25479315576</v>
      </c>
      <c r="T125" s="25">
        <f>T119*PARAMS!$C31</f>
        <v>345706.35070773156</v>
      </c>
      <c r="U125" s="25">
        <f>U119*PARAMS!$C31</f>
        <v>342029.71575804875</v>
      </c>
      <c r="V125" s="25">
        <f>V119*PARAMS!$C31</f>
        <v>338353.08080836589</v>
      </c>
      <c r="W125" s="25">
        <f>W119*PARAMS!$C31</f>
        <v>334676.44585868303</v>
      </c>
      <c r="X125" s="25">
        <f>X119*PARAMS!$C31</f>
        <v>330999.81090900023</v>
      </c>
      <c r="Y125" s="25">
        <f>Y119*PARAMS!$C31</f>
        <v>327323.17595931736</v>
      </c>
      <c r="Z125" s="25">
        <f>Z119*PARAMS!$C31</f>
        <v>323646.5410096345</v>
      </c>
      <c r="AA125" s="25">
        <f>AA119*PARAMS!$C31</f>
        <v>319969.90605995158</v>
      </c>
      <c r="AB125" s="25">
        <f>AB119*PARAMS!$C31</f>
        <v>316293.27111026878</v>
      </c>
      <c r="AC125" s="25">
        <f>AC119*PARAMS!$C31</f>
        <v>312616.63616058597</v>
      </c>
      <c r="AD125" s="25">
        <f>AD119*PARAMS!$C31</f>
        <v>308940.00121090305</v>
      </c>
      <c r="AE125" s="25">
        <f>AE119*PARAMS!$C31</f>
        <v>305263.36626122025</v>
      </c>
      <c r="AF125" s="25">
        <f>AF119*PARAMS!$C31</f>
        <v>301586.73131153738</v>
      </c>
      <c r="AG125" s="25">
        <f>AG119*PARAMS!$C31</f>
        <v>297910.09636185458</v>
      </c>
      <c r="AH125" s="25">
        <f>AH119*PARAMS!$C31</f>
        <v>294233.46141217166</v>
      </c>
    </row>
    <row r="126" spans="3:34" x14ac:dyDescent="0.2">
      <c r="C126" s="1"/>
      <c r="D126" t="str">
        <f>CONCATENATE(D120,": $ Savings")</f>
        <v xml:space="preserve">   VOCs emissions reduction: $ Savings</v>
      </c>
      <c r="E126" t="s">
        <v>171</v>
      </c>
      <c r="G126" s="26">
        <f>SUM(I126:AH126)</f>
        <v>177252.99663651086</v>
      </c>
      <c r="I126" s="25">
        <f>I120*PARAMS!$C32</f>
        <v>0</v>
      </c>
      <c r="J126" s="25">
        <f>J120*PARAMS!$C32</f>
        <v>340.05931487170153</v>
      </c>
      <c r="K126" s="25">
        <f>K120*PARAMS!$C32</f>
        <v>706.92542167749457</v>
      </c>
      <c r="L126" s="25">
        <f>L120*PARAMS!$C32</f>
        <v>886.20100393878636</v>
      </c>
      <c r="M126" s="25">
        <f>M120*PARAMS!$C32</f>
        <v>4526.8755767356142</v>
      </c>
      <c r="N126" s="25">
        <f>N120*PARAMS!$C32</f>
        <v>6348.484976554988</v>
      </c>
      <c r="O126" s="25">
        <f>O120*PARAMS!$C32</f>
        <v>7275.4860200584153</v>
      </c>
      <c r="P126" s="25">
        <f>P120*PARAMS!$C32</f>
        <v>7627.3816916444512</v>
      </c>
      <c r="Q126" s="25">
        <f>Q120*PARAMS!$C32</f>
        <v>7979.2773632304879</v>
      </c>
      <c r="R126" s="25">
        <f>R120*PARAMS!$C32</f>
        <v>8331.173034816522</v>
      </c>
      <c r="S126" s="25">
        <f>S120*PARAMS!$C32</f>
        <v>8683.0687064025587</v>
      </c>
      <c r="T126" s="25">
        <f>T120*PARAMS!$C32</f>
        <v>8971.0637811088818</v>
      </c>
      <c r="U126" s="25">
        <f>U120*PARAMS!$C32</f>
        <v>8875.6552745369445</v>
      </c>
      <c r="V126" s="25">
        <f>V120*PARAMS!$C32</f>
        <v>8780.2467679650072</v>
      </c>
      <c r="W126" s="25">
        <f>W120*PARAMS!$C32</f>
        <v>8684.8382613930735</v>
      </c>
      <c r="X126" s="25">
        <f>X120*PARAMS!$C32</f>
        <v>8589.4297548211362</v>
      </c>
      <c r="Y126" s="25">
        <f>Y120*PARAMS!$C32</f>
        <v>8494.0212482491988</v>
      </c>
      <c r="Z126" s="25">
        <f>Z120*PARAMS!$C32</f>
        <v>8398.6127416772615</v>
      </c>
      <c r="AA126" s="25">
        <f>AA120*PARAMS!$C32</f>
        <v>8303.2042351053242</v>
      </c>
      <c r="AB126" s="25">
        <f>AB120*PARAMS!$C32</f>
        <v>8207.7957285333869</v>
      </c>
      <c r="AC126" s="25">
        <f>AC120*PARAMS!$C32</f>
        <v>8112.3872219614523</v>
      </c>
      <c r="AD126" s="25">
        <f>AD120*PARAMS!$C32</f>
        <v>8016.9787153895149</v>
      </c>
      <c r="AE126" s="25">
        <f>AE120*PARAMS!$C32</f>
        <v>7921.5702088175776</v>
      </c>
      <c r="AF126" s="25">
        <f>AF120*PARAMS!$C32</f>
        <v>7826.1617022456412</v>
      </c>
      <c r="AG126" s="25">
        <f>AG120*PARAMS!$C32</f>
        <v>7730.7531956737048</v>
      </c>
      <c r="AH126" s="25">
        <f>AH120*PARAMS!$C32</f>
        <v>7635.3446891017657</v>
      </c>
    </row>
    <row r="127" spans="3:34" x14ac:dyDescent="0.2">
      <c r="C127" s="1"/>
      <c r="D127" t="str">
        <f>CONCATENATE(D121,": $ Savings")</f>
        <v xml:space="preserve">   PM2.5 emissions reduction: $ Savings</v>
      </c>
      <c r="E127" t="s">
        <v>171</v>
      </c>
      <c r="G127" s="26">
        <f>SUM(I127:AH127)</f>
        <v>1434989.6170558671</v>
      </c>
      <c r="I127" s="25">
        <f>I121*PARAMS!$C33</f>
        <v>0</v>
      </c>
      <c r="J127" s="25">
        <f>J121*PARAMS!$C33</f>
        <v>2753.0230533970462</v>
      </c>
      <c r="K127" s="25">
        <f>K121*PARAMS!$C33</f>
        <v>5723.0662352090876</v>
      </c>
      <c r="L127" s="25">
        <f>L121*PARAMS!$C33</f>
        <v>7174.4301276015731</v>
      </c>
      <c r="M127" s="25">
        <f>M121*PARAMS!$C33</f>
        <v>36648.291276229611</v>
      </c>
      <c r="N127" s="25">
        <f>N121*PARAMS!$C33</f>
        <v>51395.520517338737</v>
      </c>
      <c r="O127" s="25">
        <f>O121*PARAMS!$C33</f>
        <v>58900.256108101472</v>
      </c>
      <c r="P127" s="25">
        <f>P121*PARAMS!$C33</f>
        <v>61749.102923641571</v>
      </c>
      <c r="Q127" s="25">
        <f>Q121*PARAMS!$C33</f>
        <v>64597.949739181669</v>
      </c>
      <c r="R127" s="25">
        <f>R121*PARAMS!$C33</f>
        <v>67446.796554721761</v>
      </c>
      <c r="S127" s="25">
        <f>S121*PARAMS!$C33</f>
        <v>70295.643370261852</v>
      </c>
      <c r="T127" s="25">
        <f>T121*PARAMS!$C33</f>
        <v>72627.169210777181</v>
      </c>
      <c r="U127" s="25">
        <f>U121*PARAMS!$C33</f>
        <v>71854.769201144081</v>
      </c>
      <c r="V127" s="25">
        <f>V121*PARAMS!$C33</f>
        <v>71082.369191510981</v>
      </c>
      <c r="W127" s="25">
        <f>W121*PARAMS!$C33</f>
        <v>70309.96918187791</v>
      </c>
      <c r="X127" s="25">
        <f>X121*PARAMS!$C33</f>
        <v>69537.56917224481</v>
      </c>
      <c r="Y127" s="25">
        <f>Y121*PARAMS!$C33</f>
        <v>68765.169162611724</v>
      </c>
      <c r="Z127" s="25">
        <f>Z121*PARAMS!$C33</f>
        <v>67992.769152978624</v>
      </c>
      <c r="AA127" s="25">
        <f>AA121*PARAMS!$C33</f>
        <v>67220.369143345524</v>
      </c>
      <c r="AB127" s="25">
        <f>AB121*PARAMS!$C33</f>
        <v>66447.969133712424</v>
      </c>
      <c r="AC127" s="25">
        <f>AC121*PARAMS!$C33</f>
        <v>65675.569124079339</v>
      </c>
      <c r="AD127" s="25">
        <f>AD121*PARAMS!$C33</f>
        <v>64903.169114446238</v>
      </c>
      <c r="AE127" s="25">
        <f>AE121*PARAMS!$C33</f>
        <v>64130.769104813153</v>
      </c>
      <c r="AF127" s="25">
        <f>AF121*PARAMS!$C33</f>
        <v>63358.36909518006</v>
      </c>
      <c r="AG127" s="25">
        <f>AG121*PARAMS!$C33</f>
        <v>62585.969085546974</v>
      </c>
      <c r="AH127" s="25">
        <f>AH121*PARAMS!$C33</f>
        <v>61813.56907591386</v>
      </c>
    </row>
    <row r="128" spans="3:34" x14ac:dyDescent="0.2">
      <c r="C128" s="1"/>
      <c r="D128" t="str">
        <f>CONCATENATE(D122,": $ Savings")</f>
        <v xml:space="preserve">   SO2 emissions reduction: $ Savings</v>
      </c>
      <c r="E128" t="s">
        <v>171</v>
      </c>
      <c r="G128" s="26">
        <f>SUM(I128:AH128)</f>
        <v>0</v>
      </c>
      <c r="I128" s="25" t="s">
        <v>394</v>
      </c>
      <c r="J128" s="25" t="s">
        <v>394</v>
      </c>
      <c r="K128" s="25" t="s">
        <v>394</v>
      </c>
      <c r="L128" s="25" t="s">
        <v>394</v>
      </c>
      <c r="M128" s="25" t="s">
        <v>394</v>
      </c>
      <c r="N128" s="25" t="s">
        <v>394</v>
      </c>
      <c r="O128" s="25" t="s">
        <v>394</v>
      </c>
      <c r="P128" s="25" t="s">
        <v>394</v>
      </c>
      <c r="Q128" s="25" t="s">
        <v>394</v>
      </c>
      <c r="R128" s="25" t="s">
        <v>394</v>
      </c>
      <c r="S128" s="25" t="s">
        <v>394</v>
      </c>
      <c r="T128" s="25" t="s">
        <v>394</v>
      </c>
      <c r="U128" s="25" t="s">
        <v>394</v>
      </c>
      <c r="V128" s="25" t="s">
        <v>394</v>
      </c>
      <c r="W128" s="25" t="s">
        <v>394</v>
      </c>
      <c r="X128" s="25" t="s">
        <v>394</v>
      </c>
      <c r="Y128" s="25" t="s">
        <v>394</v>
      </c>
      <c r="Z128" s="25" t="s">
        <v>394</v>
      </c>
      <c r="AA128" s="25" t="s">
        <v>394</v>
      </c>
      <c r="AB128" s="25" t="s">
        <v>394</v>
      </c>
      <c r="AC128" s="25" t="s">
        <v>394</v>
      </c>
      <c r="AD128" s="25" t="s">
        <v>394</v>
      </c>
      <c r="AE128" s="25" t="s">
        <v>394</v>
      </c>
      <c r="AF128" s="25" t="s">
        <v>394</v>
      </c>
      <c r="AG128" s="25" t="s">
        <v>394</v>
      </c>
      <c r="AH128" s="25" t="s">
        <v>394</v>
      </c>
    </row>
    <row r="129" spans="3:34" x14ac:dyDescent="0.2">
      <c r="C129" s="1"/>
      <c r="D129" t="str">
        <f>CONCATENATE(D123,": $ Savings")</f>
        <v xml:space="preserve">   CO2 emissions reduction: $ Savings</v>
      </c>
      <c r="E129" t="s">
        <v>171</v>
      </c>
      <c r="G129" s="26">
        <f>SUM(I129:AH129)</f>
        <v>41510140.071291067</v>
      </c>
      <c r="I129" s="25">
        <f t="shared" ref="I129:AG129" si="61">I$111*I123</f>
        <v>0</v>
      </c>
      <c r="J129" s="25">
        <f t="shared" si="61"/>
        <v>52969.902053895006</v>
      </c>
      <c r="K129" s="25">
        <f t="shared" si="61"/>
        <v>110115.40842453603</v>
      </c>
      <c r="L129" s="25">
        <f t="shared" si="61"/>
        <v>138040.56623595598</v>
      </c>
      <c r="M129" s="25">
        <f t="shared" si="61"/>
        <v>705136.26718422014</v>
      </c>
      <c r="N129" s="25">
        <f t="shared" si="61"/>
        <v>988882.27051099529</v>
      </c>
      <c r="O129" s="25">
        <f t="shared" si="61"/>
        <v>1133278.1224427701</v>
      </c>
      <c r="P129" s="25">
        <f t="shared" si="61"/>
        <v>1188091.7341920452</v>
      </c>
      <c r="Q129" s="25">
        <f t="shared" si="61"/>
        <v>1242905.3459413203</v>
      </c>
      <c r="R129" s="25">
        <f t="shared" si="61"/>
        <v>1297718.9576905952</v>
      </c>
      <c r="S129" s="25">
        <f t="shared" si="61"/>
        <v>1352532.5694398701</v>
      </c>
      <c r="T129" s="25">
        <f t="shared" si="61"/>
        <v>1397392.5989466449</v>
      </c>
      <c r="U129" s="25">
        <f t="shared" si="61"/>
        <v>1382531.13499842</v>
      </c>
      <c r="V129" s="25">
        <f t="shared" si="61"/>
        <v>1367669.6710501949</v>
      </c>
      <c r="W129" s="25">
        <f t="shared" si="61"/>
        <v>1352808.20710197</v>
      </c>
      <c r="X129" s="25">
        <f t="shared" si="61"/>
        <v>2675893.4863074902</v>
      </c>
      <c r="Y129" s="25">
        <f t="shared" si="61"/>
        <v>2646170.5584110399</v>
      </c>
      <c r="Z129" s="25">
        <f t="shared" si="61"/>
        <v>2616447.6305145901</v>
      </c>
      <c r="AA129" s="25">
        <f t="shared" si="61"/>
        <v>2586724.7026181398</v>
      </c>
      <c r="AB129" s="25">
        <f t="shared" si="61"/>
        <v>2557001.7747216895</v>
      </c>
      <c r="AC129" s="25">
        <f t="shared" si="61"/>
        <v>2527278.8468252397</v>
      </c>
      <c r="AD129" s="25">
        <f t="shared" si="61"/>
        <v>2497555.9189287894</v>
      </c>
      <c r="AE129" s="25">
        <f t="shared" si="61"/>
        <v>2467832.9910323396</v>
      </c>
      <c r="AF129" s="25">
        <f t="shared" si="61"/>
        <v>2438110.0631358898</v>
      </c>
      <c r="AG129" s="25">
        <f t="shared" si="61"/>
        <v>2408387.13523944</v>
      </c>
      <c r="AH129" s="25">
        <f t="shared" ref="AH129" si="62">AH$111*AH123</f>
        <v>2378664.2073429893</v>
      </c>
    </row>
    <row r="130" spans="3:34" x14ac:dyDescent="0.2">
      <c r="C130" s="1"/>
      <c r="D130" t="s">
        <v>352</v>
      </c>
      <c r="E130" t="s">
        <v>171</v>
      </c>
      <c r="G130" s="26">
        <f>SUM(G125:G129)</f>
        <v>49952953.519654706</v>
      </c>
      <c r="I130" s="25">
        <f t="shared" ref="I130:AG130" si="63">SUM(I125:I127,I129)</f>
        <v>0</v>
      </c>
      <c r="J130" s="25">
        <f t="shared" si="63"/>
        <v>69167.413020255393</v>
      </c>
      <c r="K130" s="25">
        <f t="shared" si="63"/>
        <v>143787.27615249463</v>
      </c>
      <c r="L130" s="25">
        <f t="shared" si="63"/>
        <v>180251.58605499458</v>
      </c>
      <c r="M130" s="25">
        <f t="shared" si="63"/>
        <v>920757.81786924705</v>
      </c>
      <c r="N130" s="25">
        <f t="shared" si="63"/>
        <v>1291269.6792085618</v>
      </c>
      <c r="O130" s="25">
        <f t="shared" si="63"/>
        <v>1479819.9151296096</v>
      </c>
      <c r="P130" s="25">
        <f t="shared" si="63"/>
        <v>1551394.8204246298</v>
      </c>
      <c r="Q130" s="25">
        <f t="shared" si="63"/>
        <v>1622969.7257196503</v>
      </c>
      <c r="R130" s="25">
        <f t="shared" si="63"/>
        <v>1694544.6310146702</v>
      </c>
      <c r="S130" s="25">
        <f t="shared" si="63"/>
        <v>1766119.5363096902</v>
      </c>
      <c r="T130" s="25">
        <f t="shared" si="63"/>
        <v>1824697.1826462625</v>
      </c>
      <c r="U130" s="25">
        <f t="shared" si="63"/>
        <v>1805291.2752321498</v>
      </c>
      <c r="V130" s="25">
        <f t="shared" si="63"/>
        <v>1785885.3678180368</v>
      </c>
      <c r="W130" s="25">
        <f t="shared" si="63"/>
        <v>1766479.4604039239</v>
      </c>
      <c r="X130" s="25">
        <f t="shared" si="63"/>
        <v>3085020.2961435565</v>
      </c>
      <c r="Y130" s="25">
        <f t="shared" si="63"/>
        <v>3050752.9247812182</v>
      </c>
      <c r="Z130" s="25">
        <f t="shared" si="63"/>
        <v>3016485.5534188803</v>
      </c>
      <c r="AA130" s="25">
        <f t="shared" si="63"/>
        <v>2982218.182056542</v>
      </c>
      <c r="AB130" s="25">
        <f t="shared" si="63"/>
        <v>2947950.8106942042</v>
      </c>
      <c r="AC130" s="25">
        <f t="shared" si="63"/>
        <v>2913683.4393318663</v>
      </c>
      <c r="AD130" s="25">
        <f t="shared" si="63"/>
        <v>2879416.067969528</v>
      </c>
      <c r="AE130" s="25">
        <f t="shared" si="63"/>
        <v>2845148.6966071906</v>
      </c>
      <c r="AF130" s="25">
        <f t="shared" si="63"/>
        <v>2810881.3252448528</v>
      </c>
      <c r="AG130" s="25">
        <f t="shared" si="63"/>
        <v>2776613.9538825154</v>
      </c>
      <c r="AH130" s="25">
        <f t="shared" ref="AH130" si="64">SUM(AH125:AH127,AH129)</f>
        <v>2742346.5825201767</v>
      </c>
    </row>
    <row r="131" spans="3:34" s="61" customFormat="1" x14ac:dyDescent="0.2">
      <c r="D131" s="61" t="s">
        <v>318</v>
      </c>
      <c r="E131" s="61" t="s">
        <v>171</v>
      </c>
      <c r="G131" s="62">
        <f>SUM(I131:AH131)</f>
        <v>19593336.391726825</v>
      </c>
      <c r="H131" s="62"/>
      <c r="I131" s="62">
        <f>I130/'1_MODEL_assumptions'!I$36</f>
        <v>0</v>
      </c>
      <c r="J131" s="62">
        <f>J130/'1_MODEL_assumptions'!J$36</f>
        <v>69167.413020255393</v>
      </c>
      <c r="K131" s="62">
        <f>K130/'1_MODEL_assumptions'!K$36</f>
        <v>134380.63191821927</v>
      </c>
      <c r="L131" s="62">
        <f>L130/'1_MODEL_assumptions'!L$36</f>
        <v>157438.71609310384</v>
      </c>
      <c r="M131" s="62">
        <f>M130/'1_MODEL_assumptions'!M$36</f>
        <v>751612.6518573201</v>
      </c>
      <c r="N131" s="62">
        <f>N130/'1_MODEL_assumptions'!N$36</f>
        <v>985103.45573035558</v>
      </c>
      <c r="O131" s="62">
        <f>O130/'1_MODEL_assumptions'!O$36</f>
        <v>1055091.1476121068</v>
      </c>
      <c r="P131" s="62">
        <f>P130/'1_MODEL_assumptions'!P$36</f>
        <v>1033759.874659167</v>
      </c>
      <c r="Q131" s="62">
        <f>Q130/'1_MODEL_assumptions'!Q$36</f>
        <v>1010703.9777784179</v>
      </c>
      <c r="R131" s="62">
        <f>R130/'1_MODEL_assumptions'!R$36</f>
        <v>986240.40334234165</v>
      </c>
      <c r="S131" s="62">
        <f>S130/'1_MODEL_assumptions'!S$36</f>
        <v>960652.00923590991</v>
      </c>
      <c r="T131" s="62">
        <f>T130/'1_MODEL_assumptions'!T$36</f>
        <v>927583.52115844144</v>
      </c>
      <c r="U131" s="62">
        <f>U130/'1_MODEL_assumptions'!U$36</f>
        <v>857680.88024415437</v>
      </c>
      <c r="V131" s="62">
        <f>V130/'1_MODEL_assumptions'!V$36</f>
        <v>792954.46114424767</v>
      </c>
      <c r="W131" s="62">
        <f>W130/'1_MODEL_assumptions'!W$36</f>
        <v>733026.17399295606</v>
      </c>
      <c r="X131" s="62">
        <f>X130/'1_MODEL_assumptions'!X$36</f>
        <v>1196424.0597328446</v>
      </c>
      <c r="Y131" s="62">
        <f>Y130/'1_MODEL_assumptions'!Y$36</f>
        <v>1105733.2544992396</v>
      </c>
      <c r="Z131" s="62">
        <f>Z130/'1_MODEL_assumptions'!Z$36</f>
        <v>1021788.0206965924</v>
      </c>
      <c r="AA131" s="62">
        <f>AA130/'1_MODEL_assumptions'!AA$36</f>
        <v>944093.9032155365</v>
      </c>
      <c r="AB131" s="62">
        <f>AB130/'1_MODEL_assumptions'!AB$36</f>
        <v>872192.27197541785</v>
      </c>
      <c r="AC131" s="62">
        <f>AC130/'1_MODEL_assumptions'!AC$36</f>
        <v>805657.75073094387</v>
      </c>
      <c r="AD131" s="62">
        <f>AD130/'1_MODEL_assumptions'!AD$36</f>
        <v>744095.82897091622</v>
      </c>
      <c r="AE131" s="62">
        <f>AE130/'1_MODEL_assumptions'!AE$36</f>
        <v>687140.64395739103</v>
      </c>
      <c r="AF131" s="62">
        <f>AF130/'1_MODEL_assumptions'!AF$36</f>
        <v>634452.92086461745</v>
      </c>
      <c r="AG131" s="62">
        <f>AG130/'1_MODEL_assumptions'!AG$36</f>
        <v>585718.05982434319</v>
      </c>
      <c r="AH131" s="62">
        <f>AH130/'1_MODEL_assumptions'!AH$36</f>
        <v>540644.35947198584</v>
      </c>
    </row>
    <row r="132" spans="3:34" x14ac:dyDescent="0.2">
      <c r="C132" s="1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</row>
    <row r="133" spans="3:34" x14ac:dyDescent="0.2">
      <c r="C133" s="1" t="s">
        <v>402</v>
      </c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</row>
    <row r="134" spans="3:34" x14ac:dyDescent="0.2">
      <c r="C134" s="1"/>
      <c r="D134" t="str">
        <f>D119</f>
        <v xml:space="preserve">   NOx emissions reduction</v>
      </c>
      <c r="E134" t="s">
        <v>341</v>
      </c>
      <c r="G134" s="32">
        <f>SUM(I134:AH134)</f>
        <v>103.81713123563554</v>
      </c>
      <c r="I134" s="25"/>
      <c r="J134" s="25"/>
      <c r="K134" s="56">
        <f>'4_MODELsub_ElecReferRacks'!$C$39*'1_MODEL_assumptions'!K11</f>
        <v>0.49942095603432601</v>
      </c>
      <c r="L134" s="56">
        <f>'4_MODELsub_ElecReferRacks'!$C$39*'1_MODEL_assumptions'!L11</f>
        <v>0.62427619504290754</v>
      </c>
      <c r="M134" s="56">
        <f>'4_MODELsub_ElecReferRacks'!$C$39*'1_MODEL_assumptions'!M11</f>
        <v>2.4971047801716302</v>
      </c>
      <c r="N134" s="56">
        <f>'4_MODELsub_ElecReferRacks'!$C$39*'1_MODEL_assumptions'!N11</f>
        <v>3.4335190727359914</v>
      </c>
      <c r="O134" s="56">
        <f>'4_MODELsub_ElecReferRacks'!$C$39*'1_MODEL_assumptions'!O11</f>
        <v>3.9329400287703171</v>
      </c>
      <c r="P134" s="56">
        <f>'4_MODELsub_ElecReferRacks'!$C$39*'1_MODEL_assumptions'!P11</f>
        <v>4.1514366970353347</v>
      </c>
      <c r="Q134" s="56">
        <f>'4_MODELsub_ElecReferRacks'!$C$39*'1_MODEL_assumptions'!Q11</f>
        <v>4.3699333653003531</v>
      </c>
      <c r="R134" s="56">
        <f>'4_MODELsub_ElecReferRacks'!$C$39*'1_MODEL_assumptions'!R11</f>
        <v>4.5884300335653707</v>
      </c>
      <c r="S134" s="56">
        <f>'4_MODELsub_ElecReferRacks'!$C$39*'1_MODEL_assumptions'!S11</f>
        <v>4.8069267018303883</v>
      </c>
      <c r="T134" s="56">
        <f>'4_MODELsub_ElecReferRacks'!$C$39*'1_MODEL_assumptions'!T11</f>
        <v>4.9942095603432604</v>
      </c>
      <c r="U134" s="56">
        <f>'4_MODELsub_ElecReferRacks'!$C$39*'1_MODEL_assumptions'!U11</f>
        <v>4.9942095603432604</v>
      </c>
      <c r="V134" s="56">
        <f>'4_MODELsub_ElecReferRacks'!$C$39*'1_MODEL_assumptions'!V11</f>
        <v>4.9942095603432604</v>
      </c>
      <c r="W134" s="56">
        <f>'4_MODELsub_ElecReferRacks'!$C$39*'1_MODEL_assumptions'!W11</f>
        <v>4.9942095603432604</v>
      </c>
      <c r="X134" s="56">
        <f>'4_MODELsub_ElecReferRacks'!$C$39*'1_MODEL_assumptions'!X11</f>
        <v>4.9942095603432604</v>
      </c>
      <c r="Y134" s="56">
        <f>'4_MODELsub_ElecReferRacks'!$C$39*'1_MODEL_assumptions'!Y11</f>
        <v>4.9942095603432604</v>
      </c>
      <c r="Z134" s="56">
        <f>'4_MODELsub_ElecReferRacks'!$C$39*'1_MODEL_assumptions'!Z11</f>
        <v>4.9942095603432604</v>
      </c>
      <c r="AA134" s="56">
        <f>'4_MODELsub_ElecReferRacks'!$C$39*'1_MODEL_assumptions'!AA11</f>
        <v>4.9942095603432604</v>
      </c>
      <c r="AB134" s="56">
        <f>'4_MODELsub_ElecReferRacks'!$C$39*'1_MODEL_assumptions'!AB11</f>
        <v>4.9942095603432604</v>
      </c>
      <c r="AC134" s="56">
        <f>'4_MODELsub_ElecReferRacks'!$C$39*'1_MODEL_assumptions'!AC11</f>
        <v>4.9942095603432604</v>
      </c>
      <c r="AD134" s="56">
        <f>'4_MODELsub_ElecReferRacks'!$C$39*'1_MODEL_assumptions'!AD11</f>
        <v>4.9942095603432604</v>
      </c>
      <c r="AE134" s="56">
        <f>'4_MODELsub_ElecReferRacks'!$C$39*'1_MODEL_assumptions'!AE11</f>
        <v>4.9942095603432604</v>
      </c>
      <c r="AF134" s="56">
        <f>'4_MODELsub_ElecReferRacks'!$C$39*'1_MODEL_assumptions'!AF11</f>
        <v>4.9942095603432604</v>
      </c>
      <c r="AG134" s="56">
        <f>'4_MODELsub_ElecReferRacks'!$C$39*'1_MODEL_assumptions'!AG11</f>
        <v>4.9942095603432604</v>
      </c>
      <c r="AH134" s="56">
        <f>'4_MODELsub_ElecReferRacks'!$C$39*'1_MODEL_assumptions'!AH11</f>
        <v>4.9942095603432604</v>
      </c>
    </row>
    <row r="135" spans="3:34" x14ac:dyDescent="0.2">
      <c r="C135" s="1"/>
      <c r="D135" s="66" t="str">
        <f>D120</f>
        <v xml:space="preserve">   VOCs emissions reduction</v>
      </c>
      <c r="E135" s="66" t="s">
        <v>341</v>
      </c>
      <c r="G135" s="32">
        <f>SUM(I135:AH135)</f>
        <v>49.313137336926872</v>
      </c>
      <c r="I135" s="25"/>
      <c r="J135" s="25"/>
      <c r="K135" s="56">
        <f>'4_MODELsub_ElecReferRacks'!$C$41*'1_MODEL_assumptions'!K11</f>
        <v>0.23722495411630484</v>
      </c>
      <c r="L135" s="56">
        <f>'4_MODELsub_ElecReferRacks'!$C$41*'1_MODEL_assumptions'!L11</f>
        <v>0.29653119264538103</v>
      </c>
      <c r="M135" s="56">
        <f>'4_MODELsub_ElecReferRacks'!$C$41*'1_MODEL_assumptions'!M11</f>
        <v>1.1861247705815241</v>
      </c>
      <c r="N135" s="56">
        <f>'4_MODELsub_ElecReferRacks'!$C$41*'1_MODEL_assumptions'!N11</f>
        <v>1.6309215595495958</v>
      </c>
      <c r="O135" s="56">
        <f>'4_MODELsub_ElecReferRacks'!$C$41*'1_MODEL_assumptions'!O11</f>
        <v>1.8681465136659006</v>
      </c>
      <c r="P135" s="56">
        <f>'4_MODELsub_ElecReferRacks'!$C$41*'1_MODEL_assumptions'!P11</f>
        <v>1.9719324310917841</v>
      </c>
      <c r="Q135" s="56">
        <f>'4_MODELsub_ElecReferRacks'!$C$41*'1_MODEL_assumptions'!Q11</f>
        <v>2.0757183485176673</v>
      </c>
      <c r="R135" s="56">
        <f>'4_MODELsub_ElecReferRacks'!$C$41*'1_MODEL_assumptions'!R11</f>
        <v>2.1795042659435508</v>
      </c>
      <c r="S135" s="56">
        <f>'4_MODELsub_ElecReferRacks'!$C$41*'1_MODEL_assumptions'!S11</f>
        <v>2.2832901833694343</v>
      </c>
      <c r="T135" s="56">
        <f>'4_MODELsub_ElecReferRacks'!$C$41*'1_MODEL_assumptions'!T11</f>
        <v>2.3722495411630482</v>
      </c>
      <c r="U135" s="56">
        <f>'4_MODELsub_ElecReferRacks'!$C$41*'1_MODEL_assumptions'!U11</f>
        <v>2.3722495411630482</v>
      </c>
      <c r="V135" s="56">
        <f>'4_MODELsub_ElecReferRacks'!$C$41*'1_MODEL_assumptions'!V11</f>
        <v>2.3722495411630482</v>
      </c>
      <c r="W135" s="56">
        <f>'4_MODELsub_ElecReferRacks'!$C$41*'1_MODEL_assumptions'!W11</f>
        <v>2.3722495411630482</v>
      </c>
      <c r="X135" s="56">
        <f>'4_MODELsub_ElecReferRacks'!$C$41*'1_MODEL_assumptions'!X11</f>
        <v>2.3722495411630482</v>
      </c>
      <c r="Y135" s="56">
        <f>'4_MODELsub_ElecReferRacks'!$C$41*'1_MODEL_assumptions'!Y11</f>
        <v>2.3722495411630482</v>
      </c>
      <c r="Z135" s="56">
        <f>'4_MODELsub_ElecReferRacks'!$C$41*'1_MODEL_assumptions'!Z11</f>
        <v>2.3722495411630482</v>
      </c>
      <c r="AA135" s="56">
        <f>'4_MODELsub_ElecReferRacks'!$C$41*'1_MODEL_assumptions'!AA11</f>
        <v>2.3722495411630482</v>
      </c>
      <c r="AB135" s="56">
        <f>'4_MODELsub_ElecReferRacks'!$C$41*'1_MODEL_assumptions'!AB11</f>
        <v>2.3722495411630482</v>
      </c>
      <c r="AC135" s="56">
        <f>'4_MODELsub_ElecReferRacks'!$C$41*'1_MODEL_assumptions'!AC11</f>
        <v>2.3722495411630482</v>
      </c>
      <c r="AD135" s="56">
        <f>'4_MODELsub_ElecReferRacks'!$C$41*'1_MODEL_assumptions'!AD11</f>
        <v>2.3722495411630482</v>
      </c>
      <c r="AE135" s="56">
        <f>'4_MODELsub_ElecReferRacks'!$C$41*'1_MODEL_assumptions'!AE11</f>
        <v>2.3722495411630482</v>
      </c>
      <c r="AF135" s="56">
        <f>'4_MODELsub_ElecReferRacks'!$C$41*'1_MODEL_assumptions'!AF11</f>
        <v>2.3722495411630482</v>
      </c>
      <c r="AG135" s="56">
        <f>'4_MODELsub_ElecReferRacks'!$C$41*'1_MODEL_assumptions'!AG11</f>
        <v>2.3722495411630482</v>
      </c>
      <c r="AH135" s="56">
        <f>'4_MODELsub_ElecReferRacks'!$C$41*'1_MODEL_assumptions'!AH11</f>
        <v>2.3722495411630482</v>
      </c>
    </row>
    <row r="136" spans="3:34" x14ac:dyDescent="0.2">
      <c r="C136" s="1"/>
      <c r="D136" s="66" t="str">
        <f>D121</f>
        <v xml:space="preserve">   PM2.5 emissions reduction</v>
      </c>
      <c r="E136" s="66" t="s">
        <v>341</v>
      </c>
      <c r="G136" s="32">
        <f>SUM(I136:AH136)</f>
        <v>5.1908565617817768</v>
      </c>
      <c r="I136" s="25"/>
      <c r="J136" s="25"/>
      <c r="K136" s="56">
        <f>'4_MODELsub_ElecReferRacks'!$C$42*'1_MODEL_assumptions'!K11</f>
        <v>2.4971047801716297E-2</v>
      </c>
      <c r="L136" s="56">
        <f>'4_MODELsub_ElecReferRacks'!$C$42*'1_MODEL_assumptions'!L11</f>
        <v>3.1213809752145372E-2</v>
      </c>
      <c r="M136" s="56">
        <f>'4_MODELsub_ElecReferRacks'!$C$42*'1_MODEL_assumptions'!M11</f>
        <v>0.12485523900858149</v>
      </c>
      <c r="N136" s="56">
        <f>'4_MODELsub_ElecReferRacks'!$C$42*'1_MODEL_assumptions'!N11</f>
        <v>0.17167595363679955</v>
      </c>
      <c r="O136" s="56">
        <f>'4_MODELsub_ElecReferRacks'!$C$42*'1_MODEL_assumptions'!O11</f>
        <v>0.19664700143851585</v>
      </c>
      <c r="P136" s="56">
        <f>'4_MODELsub_ElecReferRacks'!$C$42*'1_MODEL_assumptions'!P11</f>
        <v>0.20757183485176672</v>
      </c>
      <c r="Q136" s="56">
        <f>'4_MODELsub_ElecReferRacks'!$C$42*'1_MODEL_assumptions'!Q11</f>
        <v>0.21849666826501762</v>
      </c>
      <c r="R136" s="56">
        <f>'4_MODELsub_ElecReferRacks'!$C$42*'1_MODEL_assumptions'!R11</f>
        <v>0.22942150167826852</v>
      </c>
      <c r="S136" s="56">
        <f>'4_MODELsub_ElecReferRacks'!$C$42*'1_MODEL_assumptions'!S11</f>
        <v>0.2403463350915194</v>
      </c>
      <c r="T136" s="56">
        <f>'4_MODELsub_ElecReferRacks'!$C$42*'1_MODEL_assumptions'!T11</f>
        <v>0.24971047801716298</v>
      </c>
      <c r="U136" s="56">
        <f>'4_MODELsub_ElecReferRacks'!$C$42*'1_MODEL_assumptions'!U11</f>
        <v>0.24971047801716298</v>
      </c>
      <c r="V136" s="56">
        <f>'4_MODELsub_ElecReferRacks'!$C$42*'1_MODEL_assumptions'!V11</f>
        <v>0.24971047801716298</v>
      </c>
      <c r="W136" s="56">
        <f>'4_MODELsub_ElecReferRacks'!$C$42*'1_MODEL_assumptions'!W11</f>
        <v>0.24971047801716298</v>
      </c>
      <c r="X136" s="56">
        <f>'4_MODELsub_ElecReferRacks'!$C$42*'1_MODEL_assumptions'!X11</f>
        <v>0.24971047801716298</v>
      </c>
      <c r="Y136" s="56">
        <f>'4_MODELsub_ElecReferRacks'!$C$42*'1_MODEL_assumptions'!Y11</f>
        <v>0.24971047801716298</v>
      </c>
      <c r="Z136" s="56">
        <f>'4_MODELsub_ElecReferRacks'!$C$42*'1_MODEL_assumptions'!Z11</f>
        <v>0.24971047801716298</v>
      </c>
      <c r="AA136" s="56">
        <f>'4_MODELsub_ElecReferRacks'!$C$42*'1_MODEL_assumptions'!AA11</f>
        <v>0.24971047801716298</v>
      </c>
      <c r="AB136" s="56">
        <f>'4_MODELsub_ElecReferRacks'!$C$42*'1_MODEL_assumptions'!AB11</f>
        <v>0.24971047801716298</v>
      </c>
      <c r="AC136" s="56">
        <f>'4_MODELsub_ElecReferRacks'!$C$42*'1_MODEL_assumptions'!AC11</f>
        <v>0.24971047801716298</v>
      </c>
      <c r="AD136" s="56">
        <f>'4_MODELsub_ElecReferRacks'!$C$42*'1_MODEL_assumptions'!AD11</f>
        <v>0.24971047801716298</v>
      </c>
      <c r="AE136" s="56">
        <f>'4_MODELsub_ElecReferRacks'!$C$42*'1_MODEL_assumptions'!AE11</f>
        <v>0.24971047801716298</v>
      </c>
      <c r="AF136" s="56">
        <f>'4_MODELsub_ElecReferRacks'!$C$42*'1_MODEL_assumptions'!AF11</f>
        <v>0.24971047801716298</v>
      </c>
      <c r="AG136" s="56">
        <f>'4_MODELsub_ElecReferRacks'!$C$42*'1_MODEL_assumptions'!AG11</f>
        <v>0.24971047801716298</v>
      </c>
      <c r="AH136" s="56">
        <f>'4_MODELsub_ElecReferRacks'!$C$42*'1_MODEL_assumptions'!AH11</f>
        <v>0.24971047801716298</v>
      </c>
    </row>
    <row r="137" spans="3:34" x14ac:dyDescent="0.2">
      <c r="C137" s="1"/>
      <c r="D137" s="66" t="str">
        <f>D122</f>
        <v xml:space="preserve">   SO2 emissions reduction</v>
      </c>
      <c r="E137" s="66" t="s">
        <v>341</v>
      </c>
      <c r="G137" s="32">
        <f>SUM(I137:AH137)</f>
        <v>1.9157995038992104</v>
      </c>
      <c r="I137" s="25"/>
      <c r="J137" s="25"/>
      <c r="K137" s="56">
        <f>'4_MODELsub_ElecReferRacks'!$C$40*'1_MODEL_assumptions'!K11</f>
        <v>9.2161130674646274E-3</v>
      </c>
      <c r="L137" s="56">
        <f>'4_MODELsub_ElecReferRacks'!$C$40*'1_MODEL_assumptions'!L11</f>
        <v>1.1520141334330785E-2</v>
      </c>
      <c r="M137" s="56">
        <f>'4_MODELsub_ElecReferRacks'!$C$40*'1_MODEL_assumptions'!M11</f>
        <v>4.6080565337323139E-2</v>
      </c>
      <c r="N137" s="56">
        <f>'4_MODELsub_ElecReferRacks'!$C$40*'1_MODEL_assumptions'!N11</f>
        <v>6.3360777338819313E-2</v>
      </c>
      <c r="O137" s="56">
        <f>'4_MODELsub_ElecReferRacks'!$C$40*'1_MODEL_assumptions'!O11</f>
        <v>7.2576890406283942E-2</v>
      </c>
      <c r="P137" s="56">
        <f>'4_MODELsub_ElecReferRacks'!$C$40*'1_MODEL_assumptions'!P11</f>
        <v>7.6608939873299725E-2</v>
      </c>
      <c r="Q137" s="56">
        <f>'4_MODELsub_ElecReferRacks'!$C$40*'1_MODEL_assumptions'!Q11</f>
        <v>8.0640989340315494E-2</v>
      </c>
      <c r="R137" s="56">
        <f>'4_MODELsub_ElecReferRacks'!$C$40*'1_MODEL_assumptions'!R11</f>
        <v>8.4673038807331277E-2</v>
      </c>
      <c r="S137" s="56">
        <f>'4_MODELsub_ElecReferRacks'!$C$40*'1_MODEL_assumptions'!S11</f>
        <v>8.870508827434706E-2</v>
      </c>
      <c r="T137" s="56">
        <f>'4_MODELsub_ElecReferRacks'!$C$40*'1_MODEL_assumptions'!T11</f>
        <v>9.2161130674646277E-2</v>
      </c>
      <c r="U137" s="56">
        <f>'4_MODELsub_ElecReferRacks'!$C$40*'1_MODEL_assumptions'!U11</f>
        <v>9.2161130674646277E-2</v>
      </c>
      <c r="V137" s="56">
        <f>'4_MODELsub_ElecReferRacks'!$C$40*'1_MODEL_assumptions'!V11</f>
        <v>9.2161130674646277E-2</v>
      </c>
      <c r="W137" s="56">
        <f>'4_MODELsub_ElecReferRacks'!$C$40*'1_MODEL_assumptions'!W11</f>
        <v>9.2161130674646277E-2</v>
      </c>
      <c r="X137" s="56">
        <f>'4_MODELsub_ElecReferRacks'!$C$40*'1_MODEL_assumptions'!X11</f>
        <v>9.2161130674646277E-2</v>
      </c>
      <c r="Y137" s="56">
        <f>'4_MODELsub_ElecReferRacks'!$C$40*'1_MODEL_assumptions'!Y11</f>
        <v>9.2161130674646277E-2</v>
      </c>
      <c r="Z137" s="56">
        <f>'4_MODELsub_ElecReferRacks'!$C$40*'1_MODEL_assumptions'!Z11</f>
        <v>9.2161130674646277E-2</v>
      </c>
      <c r="AA137" s="56">
        <f>'4_MODELsub_ElecReferRacks'!$C$40*'1_MODEL_assumptions'!AA11</f>
        <v>9.2161130674646277E-2</v>
      </c>
      <c r="AB137" s="56">
        <f>'4_MODELsub_ElecReferRacks'!$C$40*'1_MODEL_assumptions'!AB11</f>
        <v>9.2161130674646277E-2</v>
      </c>
      <c r="AC137" s="56">
        <f>'4_MODELsub_ElecReferRacks'!$C$40*'1_MODEL_assumptions'!AC11</f>
        <v>9.2161130674646277E-2</v>
      </c>
      <c r="AD137" s="56">
        <f>'4_MODELsub_ElecReferRacks'!$C$40*'1_MODEL_assumptions'!AD11</f>
        <v>9.2161130674646277E-2</v>
      </c>
      <c r="AE137" s="56">
        <f>'4_MODELsub_ElecReferRacks'!$C$40*'1_MODEL_assumptions'!AE11</f>
        <v>9.2161130674646277E-2</v>
      </c>
      <c r="AF137" s="56">
        <f>'4_MODELsub_ElecReferRacks'!$C$40*'1_MODEL_assumptions'!AF11</f>
        <v>9.2161130674646277E-2</v>
      </c>
      <c r="AG137" s="56">
        <f>'4_MODELsub_ElecReferRacks'!$C$40*'1_MODEL_assumptions'!AG11</f>
        <v>9.2161130674646277E-2</v>
      </c>
      <c r="AH137" s="56">
        <f>'4_MODELsub_ElecReferRacks'!$C$40*'1_MODEL_assumptions'!AH11</f>
        <v>9.2161130674646277E-2</v>
      </c>
    </row>
    <row r="138" spans="3:34" x14ac:dyDescent="0.2">
      <c r="C138" s="1"/>
      <c r="D138" s="66" t="s">
        <v>353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</row>
    <row r="139" spans="3:34" x14ac:dyDescent="0.2">
      <c r="C139" s="1"/>
      <c r="D139" s="66" t="s">
        <v>438</v>
      </c>
      <c r="E139" t="s">
        <v>171</v>
      </c>
      <c r="G139" s="26">
        <f>SUM(I139:AH139)</f>
        <v>861682.1892557746</v>
      </c>
      <c r="I139" s="25"/>
      <c r="J139" s="25"/>
      <c r="K139" s="25">
        <f>K134*PARAMS!$C31</f>
        <v>4145.1939350849061</v>
      </c>
      <c r="L139" s="25">
        <f>L134*PARAMS!$C31</f>
        <v>5181.4924188561326</v>
      </c>
      <c r="M139" s="25">
        <f>M134*PARAMS!$C31</f>
        <v>20725.969675424531</v>
      </c>
      <c r="N139" s="25">
        <f>N134*PARAMS!$C31</f>
        <v>28498.208303708729</v>
      </c>
      <c r="O139" s="25">
        <f>O134*PARAMS!$C31</f>
        <v>32643.402238793631</v>
      </c>
      <c r="P139" s="25">
        <f>P134*PARAMS!$C31</f>
        <v>34456.924585393281</v>
      </c>
      <c r="Q139" s="25">
        <f>Q134*PARAMS!$C31</f>
        <v>36270.446931992934</v>
      </c>
      <c r="R139" s="25">
        <f>R134*PARAMS!$C31</f>
        <v>38083.96927859258</v>
      </c>
      <c r="S139" s="25">
        <f>S134*PARAMS!$C31</f>
        <v>39897.491625192226</v>
      </c>
      <c r="T139" s="25">
        <f>T134*PARAMS!$C31</f>
        <v>41451.939350849061</v>
      </c>
      <c r="U139" s="25">
        <f>U134*PARAMS!$C31</f>
        <v>41451.939350849061</v>
      </c>
      <c r="V139" s="25">
        <f>V134*PARAMS!$C31</f>
        <v>41451.939350849061</v>
      </c>
      <c r="W139" s="25">
        <f>W134*PARAMS!$C31</f>
        <v>41451.939350849061</v>
      </c>
      <c r="X139" s="25">
        <f>X134*PARAMS!$C31</f>
        <v>41451.939350849061</v>
      </c>
      <c r="Y139" s="25">
        <f>Y134*PARAMS!$C31</f>
        <v>41451.939350849061</v>
      </c>
      <c r="Z139" s="25">
        <f>Z134*PARAMS!$C31</f>
        <v>41451.939350849061</v>
      </c>
      <c r="AA139" s="25">
        <f>AA134*PARAMS!$C31</f>
        <v>41451.939350849061</v>
      </c>
      <c r="AB139" s="25">
        <f>AB134*PARAMS!$C31</f>
        <v>41451.939350849061</v>
      </c>
      <c r="AC139" s="25">
        <f>AC134*PARAMS!$C31</f>
        <v>41451.939350849061</v>
      </c>
      <c r="AD139" s="25">
        <f>AD134*PARAMS!$C31</f>
        <v>41451.939350849061</v>
      </c>
      <c r="AE139" s="25">
        <f>AE134*PARAMS!$C31</f>
        <v>41451.939350849061</v>
      </c>
      <c r="AF139" s="25">
        <f>AF134*PARAMS!$C31</f>
        <v>41451.939350849061</v>
      </c>
      <c r="AG139" s="25">
        <f>AG134*PARAMS!$C31</f>
        <v>41451.939350849061</v>
      </c>
      <c r="AH139" s="25">
        <f>AH134*PARAMS!$C31</f>
        <v>41451.939350849061</v>
      </c>
    </row>
    <row r="140" spans="3:34" x14ac:dyDescent="0.2">
      <c r="C140" s="1"/>
      <c r="D140" t="s">
        <v>439</v>
      </c>
      <c r="E140" s="66" t="s">
        <v>171</v>
      </c>
      <c r="G140" s="26">
        <f>SUM(I140:AH140)</f>
        <v>98626.274673853768</v>
      </c>
      <c r="I140" s="25"/>
      <c r="J140" s="25"/>
      <c r="K140" s="25">
        <f>K135*PARAMS!$C32</f>
        <v>474.44990823260969</v>
      </c>
      <c r="L140" s="25">
        <f>L135*PARAMS!$C32</f>
        <v>593.06238529076199</v>
      </c>
      <c r="M140" s="25">
        <f>M135*PARAMS!$C32</f>
        <v>2372.249541163048</v>
      </c>
      <c r="N140" s="25">
        <f>N135*PARAMS!$C32</f>
        <v>3261.8431190991919</v>
      </c>
      <c r="O140" s="25">
        <f>O135*PARAMS!$C32</f>
        <v>3736.2930273318011</v>
      </c>
      <c r="P140" s="25">
        <f>P135*PARAMS!$C32</f>
        <v>3943.8648621835682</v>
      </c>
      <c r="Q140" s="25">
        <f>Q135*PARAMS!$C32</f>
        <v>4151.4366970353349</v>
      </c>
      <c r="R140" s="25">
        <f>R135*PARAMS!$C32</f>
        <v>4359.0085318871015</v>
      </c>
      <c r="S140" s="25">
        <f>S135*PARAMS!$C32</f>
        <v>4566.5803667388691</v>
      </c>
      <c r="T140" s="25">
        <f>T135*PARAMS!$C32</f>
        <v>4744.499082326096</v>
      </c>
      <c r="U140" s="25">
        <f>U135*PARAMS!$C32</f>
        <v>4744.499082326096</v>
      </c>
      <c r="V140" s="25">
        <f>V135*PARAMS!$C32</f>
        <v>4744.499082326096</v>
      </c>
      <c r="W140" s="25">
        <f>W135*PARAMS!$C32</f>
        <v>4744.499082326096</v>
      </c>
      <c r="X140" s="25">
        <f>X135*PARAMS!$C32</f>
        <v>4744.499082326096</v>
      </c>
      <c r="Y140" s="25">
        <f>Y135*PARAMS!$C32</f>
        <v>4744.499082326096</v>
      </c>
      <c r="Z140" s="25">
        <f>Z135*PARAMS!$C32</f>
        <v>4744.499082326096</v>
      </c>
      <c r="AA140" s="25">
        <f>AA135*PARAMS!$C32</f>
        <v>4744.499082326096</v>
      </c>
      <c r="AB140" s="25">
        <f>AB135*PARAMS!$C32</f>
        <v>4744.499082326096</v>
      </c>
      <c r="AC140" s="25">
        <f>AC135*PARAMS!$C32</f>
        <v>4744.499082326096</v>
      </c>
      <c r="AD140" s="25">
        <f>AD135*PARAMS!$C32</f>
        <v>4744.499082326096</v>
      </c>
      <c r="AE140" s="25">
        <f>AE135*PARAMS!$C32</f>
        <v>4744.499082326096</v>
      </c>
      <c r="AF140" s="25">
        <f>AF135*PARAMS!$C32</f>
        <v>4744.499082326096</v>
      </c>
      <c r="AG140" s="25">
        <f>AG135*PARAMS!$C32</f>
        <v>4744.499082326096</v>
      </c>
      <c r="AH140" s="25">
        <f>AH135*PARAMS!$C32</f>
        <v>4744.499082326096</v>
      </c>
    </row>
    <row r="141" spans="3:34" s="66" customFormat="1" x14ac:dyDescent="0.2">
      <c r="C141" s="67"/>
      <c r="D141" s="66" t="s">
        <v>440</v>
      </c>
      <c r="E141" s="66" t="s">
        <v>171</v>
      </c>
      <c r="G141" s="26">
        <f>SUM(I141:AH141)</f>
        <v>1961105.6090411549</v>
      </c>
      <c r="I141" s="25"/>
      <c r="J141" s="25"/>
      <c r="K141" s="25">
        <f>K136*PARAMS!$C33</f>
        <v>9434.0618594884163</v>
      </c>
      <c r="L141" s="25">
        <f>L136*PARAMS!$C33</f>
        <v>11792.577324360522</v>
      </c>
      <c r="M141" s="25">
        <f>M136*PARAMS!$C33</f>
        <v>47170.309297442087</v>
      </c>
      <c r="N141" s="25">
        <f>N136*PARAMS!$C33</f>
        <v>64859.17528398287</v>
      </c>
      <c r="O141" s="25">
        <f>O136*PARAMS!$C33</f>
        <v>74293.237143471284</v>
      </c>
      <c r="P141" s="25">
        <f>P136*PARAMS!$C33</f>
        <v>78420.639206997468</v>
      </c>
      <c r="Q141" s="25">
        <f>Q136*PARAMS!$C33</f>
        <v>82548.041270523652</v>
      </c>
      <c r="R141" s="25">
        <f>R136*PARAMS!$C33</f>
        <v>86675.443334049851</v>
      </c>
      <c r="S141" s="25">
        <f>S136*PARAMS!$C33</f>
        <v>90802.845397576035</v>
      </c>
      <c r="T141" s="25">
        <f>T136*PARAMS!$C33</f>
        <v>94340.618594884174</v>
      </c>
      <c r="U141" s="25">
        <f>U136*PARAMS!$C33</f>
        <v>94340.618594884174</v>
      </c>
      <c r="V141" s="25">
        <f>V136*PARAMS!$C33</f>
        <v>94340.618594884174</v>
      </c>
      <c r="W141" s="25">
        <f>W136*PARAMS!$C33</f>
        <v>94340.618594884174</v>
      </c>
      <c r="X141" s="25">
        <f>X136*PARAMS!$C33</f>
        <v>94340.618594884174</v>
      </c>
      <c r="Y141" s="25">
        <f>Y136*PARAMS!$C33</f>
        <v>94340.618594884174</v>
      </c>
      <c r="Z141" s="25">
        <f>Z136*PARAMS!$C33</f>
        <v>94340.618594884174</v>
      </c>
      <c r="AA141" s="25">
        <f>AA136*PARAMS!$C33</f>
        <v>94340.618594884174</v>
      </c>
      <c r="AB141" s="25">
        <f>AB136*PARAMS!$C33</f>
        <v>94340.618594884174</v>
      </c>
      <c r="AC141" s="25">
        <f>AC136*PARAMS!$C33</f>
        <v>94340.618594884174</v>
      </c>
      <c r="AD141" s="25">
        <f>AD136*PARAMS!$C33</f>
        <v>94340.618594884174</v>
      </c>
      <c r="AE141" s="25">
        <f>AE136*PARAMS!$C33</f>
        <v>94340.618594884174</v>
      </c>
      <c r="AF141" s="25">
        <f>AF136*PARAMS!$C33</f>
        <v>94340.618594884174</v>
      </c>
      <c r="AG141" s="25">
        <f>AG136*PARAMS!$C33</f>
        <v>94340.618594884174</v>
      </c>
      <c r="AH141" s="25">
        <f>AH136*PARAMS!$C33</f>
        <v>94340.618594884174</v>
      </c>
    </row>
    <row r="142" spans="3:34" s="66" customFormat="1" x14ac:dyDescent="0.2">
      <c r="C142" s="67"/>
      <c r="D142" s="66" t="s">
        <v>441</v>
      </c>
      <c r="E142" s="66" t="s">
        <v>171</v>
      </c>
      <c r="G142" s="26">
        <f>SUM(I142:AH142)</f>
        <v>93682.595740671386</v>
      </c>
      <c r="I142" s="25"/>
      <c r="J142" s="25"/>
      <c r="K142" s="25">
        <f>K137*PARAMS!$C34</f>
        <v>450.66792899902026</v>
      </c>
      <c r="L142" s="25">
        <f>L137*PARAMS!$C34</f>
        <v>563.33491124877537</v>
      </c>
      <c r="M142" s="25">
        <f>M137*PARAMS!$C34</f>
        <v>2253.3396449951015</v>
      </c>
      <c r="N142" s="25">
        <f>N137*PARAMS!$C34</f>
        <v>3098.3420118682643</v>
      </c>
      <c r="O142" s="25">
        <f>O137*PARAMS!$C34</f>
        <v>3549.009940867285</v>
      </c>
      <c r="P142" s="25">
        <f>P137*PARAMS!$C34</f>
        <v>3746.1771598043565</v>
      </c>
      <c r="Q142" s="25">
        <f>Q137*PARAMS!$C34</f>
        <v>3943.3443787414276</v>
      </c>
      <c r="R142" s="25">
        <f>R137*PARAMS!$C34</f>
        <v>4140.5115976784991</v>
      </c>
      <c r="S142" s="25">
        <f>S137*PARAMS!$C34</f>
        <v>4337.6788166155711</v>
      </c>
      <c r="T142" s="25">
        <f>T137*PARAMS!$C34</f>
        <v>4506.679289990203</v>
      </c>
      <c r="U142" s="25">
        <f>U137*PARAMS!$C34</f>
        <v>4506.679289990203</v>
      </c>
      <c r="V142" s="25">
        <f>V137*PARAMS!$C34</f>
        <v>4506.679289990203</v>
      </c>
      <c r="W142" s="25">
        <f>W137*PARAMS!$C34</f>
        <v>4506.679289990203</v>
      </c>
      <c r="X142" s="25">
        <f>X137*PARAMS!$C34</f>
        <v>4506.679289990203</v>
      </c>
      <c r="Y142" s="25">
        <f>Y137*PARAMS!$C34</f>
        <v>4506.679289990203</v>
      </c>
      <c r="Z142" s="25">
        <f>Z137*PARAMS!$C34</f>
        <v>4506.679289990203</v>
      </c>
      <c r="AA142" s="25">
        <f>AA137*PARAMS!$C34</f>
        <v>4506.679289990203</v>
      </c>
      <c r="AB142" s="25">
        <f>AB137*PARAMS!$C34</f>
        <v>4506.679289990203</v>
      </c>
      <c r="AC142" s="25">
        <f>AC137*PARAMS!$C34</f>
        <v>4506.679289990203</v>
      </c>
      <c r="AD142" s="25">
        <f>AD137*PARAMS!$C34</f>
        <v>4506.679289990203</v>
      </c>
      <c r="AE142" s="25">
        <f>AE137*PARAMS!$C34</f>
        <v>4506.679289990203</v>
      </c>
      <c r="AF142" s="25">
        <f>AF137*PARAMS!$C34</f>
        <v>4506.679289990203</v>
      </c>
      <c r="AG142" s="25">
        <f>AG137*PARAMS!$C34</f>
        <v>4506.679289990203</v>
      </c>
      <c r="AH142" s="25">
        <f>AH137*PARAMS!$C34</f>
        <v>4506.679289990203</v>
      </c>
    </row>
    <row r="143" spans="3:34" s="66" customFormat="1" x14ac:dyDescent="0.2">
      <c r="C143" s="67"/>
      <c r="D143" s="66" t="s">
        <v>19</v>
      </c>
      <c r="E143" s="66" t="s">
        <v>171</v>
      </c>
      <c r="G143" s="26">
        <f>SUM(G139:G142)</f>
        <v>3015096.6687114546</v>
      </c>
      <c r="I143" s="25"/>
      <c r="J143" s="25"/>
      <c r="K143" s="25">
        <f t="shared" ref="K143:AG143" si="65">SUM(K139:K142)</f>
        <v>14504.373631804952</v>
      </c>
      <c r="L143" s="25">
        <f t="shared" si="65"/>
        <v>18130.467039756189</v>
      </c>
      <c r="M143" s="25">
        <f t="shared" si="65"/>
        <v>72521.868159024758</v>
      </c>
      <c r="N143" s="25">
        <f t="shared" si="65"/>
        <v>99717.568718659066</v>
      </c>
      <c r="O143" s="25">
        <f t="shared" si="65"/>
        <v>114221.942350464</v>
      </c>
      <c r="P143" s="25">
        <f t="shared" si="65"/>
        <v>120567.60581437868</v>
      </c>
      <c r="Q143" s="25">
        <f t="shared" si="65"/>
        <v>126913.26927829336</v>
      </c>
      <c r="R143" s="25">
        <f t="shared" si="65"/>
        <v>133258.93274220804</v>
      </c>
      <c r="S143" s="25">
        <f t="shared" si="65"/>
        <v>139604.59620612269</v>
      </c>
      <c r="T143" s="25">
        <f t="shared" si="65"/>
        <v>145043.73631804952</v>
      </c>
      <c r="U143" s="25">
        <f t="shared" si="65"/>
        <v>145043.73631804952</v>
      </c>
      <c r="V143" s="25">
        <f t="shared" si="65"/>
        <v>145043.73631804952</v>
      </c>
      <c r="W143" s="25">
        <f t="shared" si="65"/>
        <v>145043.73631804952</v>
      </c>
      <c r="X143" s="25">
        <f t="shared" si="65"/>
        <v>145043.73631804952</v>
      </c>
      <c r="Y143" s="25">
        <f t="shared" si="65"/>
        <v>145043.73631804952</v>
      </c>
      <c r="Z143" s="25">
        <f t="shared" si="65"/>
        <v>145043.73631804952</v>
      </c>
      <c r="AA143" s="25">
        <f t="shared" si="65"/>
        <v>145043.73631804952</v>
      </c>
      <c r="AB143" s="25">
        <f t="shared" si="65"/>
        <v>145043.73631804952</v>
      </c>
      <c r="AC143" s="25">
        <f t="shared" si="65"/>
        <v>145043.73631804952</v>
      </c>
      <c r="AD143" s="25">
        <f t="shared" si="65"/>
        <v>145043.73631804952</v>
      </c>
      <c r="AE143" s="25">
        <f t="shared" si="65"/>
        <v>145043.73631804952</v>
      </c>
      <c r="AF143" s="25">
        <f t="shared" si="65"/>
        <v>145043.73631804952</v>
      </c>
      <c r="AG143" s="25">
        <f t="shared" si="65"/>
        <v>145043.73631804952</v>
      </c>
      <c r="AH143" s="25">
        <f t="shared" ref="AH143" si="66">SUM(AH139:AH142)</f>
        <v>145043.73631804952</v>
      </c>
    </row>
    <row r="144" spans="3:34" s="61" customFormat="1" x14ac:dyDescent="0.2">
      <c r="D144" s="61" t="s">
        <v>318</v>
      </c>
      <c r="E144" s="61" t="s">
        <v>171</v>
      </c>
      <c r="G144" s="62">
        <f>SUM(I144:AH144)</f>
        <v>1277532.9935587854</v>
      </c>
      <c r="H144" s="62"/>
      <c r="I144" s="62">
        <f>I143/'1_MODEL_assumptions'!I$36</f>
        <v>0</v>
      </c>
      <c r="J144" s="62">
        <f>J143/'1_MODEL_assumptions'!J$36</f>
        <v>0</v>
      </c>
      <c r="K144" s="62">
        <f>K143/'1_MODEL_assumptions'!K$36</f>
        <v>13555.489375518646</v>
      </c>
      <c r="L144" s="62">
        <f>L143/'1_MODEL_assumptions'!L$36</f>
        <v>15835.852074204025</v>
      </c>
      <c r="M144" s="62">
        <f>M143/'1_MODEL_assumptions'!M$36</f>
        <v>59199.447006370188</v>
      </c>
      <c r="N144" s="62">
        <f>N143/'1_MODEL_assumptions'!N$36</f>
        <v>76074.055732485082</v>
      </c>
      <c r="O144" s="62">
        <f>O143/'1_MODEL_assumptions'!O$36</f>
        <v>81438.666289661138</v>
      </c>
      <c r="P144" s="62">
        <f>P143/'1_MODEL_assumptions'!P$36</f>
        <v>80339.286578585772</v>
      </c>
      <c r="Q144" s="62">
        <f>Q143/'1_MODEL_assumptions'!Q$36</f>
        <v>79035.205684786793</v>
      </c>
      <c r="R144" s="62">
        <f>R143/'1_MODEL_assumptions'!R$36</f>
        <v>77557.912120585184</v>
      </c>
      <c r="S144" s="62">
        <f>S143/'1_MODEL_assumptions'!S$36</f>
        <v>75935.650496345072</v>
      </c>
      <c r="T144" s="62">
        <f>T143/'1_MODEL_assumptions'!T$36</f>
        <v>73732.880685855125</v>
      </c>
      <c r="U144" s="62">
        <f>U143/'1_MODEL_assumptions'!U$36</f>
        <v>68909.234285845901</v>
      </c>
      <c r="V144" s="62">
        <f>V143/'1_MODEL_assumptions'!V$36</f>
        <v>64401.153538173756</v>
      </c>
      <c r="W144" s="62">
        <f>W143/'1_MODEL_assumptions'!W$36</f>
        <v>60187.993960910047</v>
      </c>
      <c r="X144" s="62">
        <f>X143/'1_MODEL_assumptions'!X$36</f>
        <v>56250.461645710333</v>
      </c>
      <c r="Y144" s="62">
        <f>Y143/'1_MODEL_assumptions'!Y$36</f>
        <v>52570.524902533012</v>
      </c>
      <c r="Z144" s="62">
        <f>Z143/'1_MODEL_assumptions'!Z$36</f>
        <v>49131.331684610297</v>
      </c>
      <c r="AA144" s="62">
        <f>AA143/'1_MODEL_assumptions'!AA$36</f>
        <v>45917.132415523643</v>
      </c>
      <c r="AB144" s="62">
        <f>AB143/'1_MODEL_assumptions'!AB$36</f>
        <v>42913.207864975368</v>
      </c>
      <c r="AC144" s="62">
        <f>AC143/'1_MODEL_assumptions'!AC$36</f>
        <v>40105.801742967633</v>
      </c>
      <c r="AD144" s="62">
        <f>AD143/'1_MODEL_assumptions'!AD$36</f>
        <v>37482.057703708066</v>
      </c>
      <c r="AE144" s="62">
        <f>AE143/'1_MODEL_assumptions'!AE$36</f>
        <v>35029.960470755199</v>
      </c>
      <c r="AF144" s="62">
        <f>AF143/'1_MODEL_assumptions'!AF$36</f>
        <v>32738.280813789908</v>
      </c>
      <c r="AG144" s="62">
        <f>AG143/'1_MODEL_assumptions'!AG$36</f>
        <v>30596.524125037296</v>
      </c>
      <c r="AH144" s="62">
        <f>AH143/'1_MODEL_assumptions'!AH$36</f>
        <v>28594.882359847939</v>
      </c>
    </row>
    <row r="145" spans="2:34" s="66" customFormat="1" x14ac:dyDescent="0.2">
      <c r="C145" s="67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2:34" s="66" customFormat="1" x14ac:dyDescent="0.2">
      <c r="C146" s="67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</row>
    <row r="147" spans="2:34" s="66" customFormat="1" x14ac:dyDescent="0.2">
      <c r="C147" s="67"/>
      <c r="D147" s="16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</row>
    <row r="148" spans="2:34" x14ac:dyDescent="0.2">
      <c r="C148" s="1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</row>
    <row r="149" spans="2:34" x14ac:dyDescent="0.2">
      <c r="B149" s="1" t="s">
        <v>232</v>
      </c>
    </row>
    <row r="150" spans="2:34" x14ac:dyDescent="0.2">
      <c r="C150" t="s">
        <v>156</v>
      </c>
      <c r="D150" s="16" t="s">
        <v>354</v>
      </c>
    </row>
    <row r="151" spans="2:34" x14ac:dyDescent="0.2">
      <c r="C151" t="s">
        <v>294</v>
      </c>
      <c r="D151" t="s">
        <v>354</v>
      </c>
    </row>
    <row r="152" spans="2:34" x14ac:dyDescent="0.2">
      <c r="C152" s="1"/>
    </row>
    <row r="175" spans="7:7" x14ac:dyDescent="0.2">
      <c r="G175" s="28"/>
    </row>
    <row r="176" spans="7:7" x14ac:dyDescent="0.2">
      <c r="G176" s="28"/>
    </row>
    <row r="177" spans="7:7" x14ac:dyDescent="0.2">
      <c r="G177" s="66"/>
    </row>
    <row r="178" spans="7:7" x14ac:dyDescent="0.2">
      <c r="G178" s="28"/>
    </row>
    <row r="179" spans="7:7" x14ac:dyDescent="0.2">
      <c r="G179" s="25"/>
    </row>
    <row r="180" spans="7:7" x14ac:dyDescent="0.2">
      <c r="G180" s="25"/>
    </row>
    <row r="181" spans="7:7" x14ac:dyDescent="0.2">
      <c r="G181" s="25"/>
    </row>
    <row r="182" spans="7:7" x14ac:dyDescent="0.2">
      <c r="G182" s="25"/>
    </row>
  </sheetData>
  <mergeCells count="1">
    <mergeCell ref="H5:H10"/>
  </mergeCells>
  <hyperlinks>
    <hyperlink ref="F4" r:id="rId1" xr:uid="{E8F2773C-E3D9-4F95-AB99-9B460CFF72C5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4450-AEDF-4B7E-8755-FF24BFC5134F}">
  <dimension ref="A1:L42"/>
  <sheetViews>
    <sheetView workbookViewId="0"/>
  </sheetViews>
  <sheetFormatPr baseColWidth="10" defaultColWidth="8.83203125" defaultRowHeight="15" x14ac:dyDescent="0.2"/>
  <cols>
    <col min="2" max="2" width="30.6640625" customWidth="1"/>
  </cols>
  <sheetData>
    <row r="1" spans="1:4" x14ac:dyDescent="0.2">
      <c r="A1" s="67" t="s">
        <v>481</v>
      </c>
    </row>
    <row r="3" spans="1:4" x14ac:dyDescent="0.2">
      <c r="A3" s="1" t="s">
        <v>0</v>
      </c>
      <c r="B3" s="2" t="s">
        <v>500</v>
      </c>
    </row>
    <row r="4" spans="1:4" x14ac:dyDescent="0.2">
      <c r="A4" s="1" t="s">
        <v>1</v>
      </c>
      <c r="B4" t="s">
        <v>411</v>
      </c>
    </row>
    <row r="10" spans="1:4" x14ac:dyDescent="0.2">
      <c r="A10" s="1" t="s">
        <v>3</v>
      </c>
    </row>
    <row r="11" spans="1:4" x14ac:dyDescent="0.2">
      <c r="B11" t="s">
        <v>173</v>
      </c>
      <c r="C11" s="7">
        <v>640</v>
      </c>
      <c r="D11" t="s">
        <v>172</v>
      </c>
    </row>
    <row r="12" spans="1:4" x14ac:dyDescent="0.2">
      <c r="B12" t="s">
        <v>412</v>
      </c>
      <c r="C12" t="s">
        <v>413</v>
      </c>
    </row>
    <row r="15" spans="1:4" x14ac:dyDescent="0.2">
      <c r="A15" s="1" t="s">
        <v>427</v>
      </c>
    </row>
    <row r="16" spans="1:4" x14ac:dyDescent="0.2">
      <c r="B16" t="s">
        <v>495</v>
      </c>
      <c r="C16">
        <v>1500</v>
      </c>
    </row>
    <row r="17" spans="2:12" x14ac:dyDescent="0.2">
      <c r="B17" t="s">
        <v>414</v>
      </c>
    </row>
    <row r="18" spans="2:12" x14ac:dyDescent="0.2">
      <c r="B18" t="s">
        <v>415</v>
      </c>
      <c r="C18">
        <f>ROUND(1000/1400*C16,0)</f>
        <v>1071</v>
      </c>
      <c r="D18" t="s">
        <v>416</v>
      </c>
    </row>
    <row r="19" spans="2:12" x14ac:dyDescent="0.2">
      <c r="B19" t="s">
        <v>417</v>
      </c>
      <c r="C19">
        <v>9</v>
      </c>
      <c r="D19" t="s">
        <v>419</v>
      </c>
    </row>
    <row r="20" spans="2:12" x14ac:dyDescent="0.2">
      <c r="B20" t="s">
        <v>418</v>
      </c>
      <c r="C20">
        <v>10</v>
      </c>
      <c r="D20" t="s">
        <v>420</v>
      </c>
    </row>
    <row r="21" spans="2:12" x14ac:dyDescent="0.2">
      <c r="B21" t="s">
        <v>421</v>
      </c>
      <c r="C21">
        <f>C20*C19</f>
        <v>90</v>
      </c>
      <c r="D21" t="s">
        <v>422</v>
      </c>
    </row>
    <row r="22" spans="2:12" x14ac:dyDescent="0.2">
      <c r="B22" t="s">
        <v>423</v>
      </c>
      <c r="C22">
        <f>C18*C21</f>
        <v>96390</v>
      </c>
      <c r="D22" t="s">
        <v>424</v>
      </c>
    </row>
    <row r="23" spans="2:12" x14ac:dyDescent="0.2">
      <c r="B23" t="s">
        <v>425</v>
      </c>
      <c r="C23">
        <f>C11*C21</f>
        <v>57600</v>
      </c>
      <c r="D23" t="s">
        <v>426</v>
      </c>
    </row>
    <row r="24" spans="2:12" x14ac:dyDescent="0.2">
      <c r="B24" s="1" t="s">
        <v>428</v>
      </c>
      <c r="C24" s="1">
        <f>C22-C23</f>
        <v>38790</v>
      </c>
      <c r="D24" s="1" t="s">
        <v>426</v>
      </c>
    </row>
    <row r="25" spans="2:12" x14ac:dyDescent="0.2">
      <c r="B25" t="s">
        <v>433</v>
      </c>
      <c r="C25">
        <f>C24*365</f>
        <v>14158350</v>
      </c>
      <c r="D25" t="s">
        <v>434</v>
      </c>
    </row>
    <row r="28" spans="2:12" x14ac:dyDescent="0.2">
      <c r="B28" t="s">
        <v>430</v>
      </c>
    </row>
    <row r="29" spans="2:12" x14ac:dyDescent="0.2">
      <c r="B29" t="s">
        <v>334</v>
      </c>
      <c r="C29">
        <v>0.4</v>
      </c>
      <c r="D29" t="s">
        <v>429</v>
      </c>
      <c r="L29" s="6" t="s">
        <v>432</v>
      </c>
    </row>
    <row r="30" spans="2:12" x14ac:dyDescent="0.2">
      <c r="B30" t="s">
        <v>337</v>
      </c>
      <c r="C30" s="66">
        <v>7.3814388091725889E-3</v>
      </c>
      <c r="D30" t="s">
        <v>429</v>
      </c>
      <c r="L30" s="6" t="s">
        <v>432</v>
      </c>
    </row>
    <row r="31" spans="2:12" x14ac:dyDescent="0.2">
      <c r="B31" t="s">
        <v>431</v>
      </c>
      <c r="C31">
        <v>0.19</v>
      </c>
      <c r="D31" s="66" t="s">
        <v>429</v>
      </c>
      <c r="L31" s="6" t="s">
        <v>432</v>
      </c>
    </row>
    <row r="32" spans="2:12" x14ac:dyDescent="0.2">
      <c r="B32" t="s">
        <v>336</v>
      </c>
      <c r="C32">
        <v>0.02</v>
      </c>
      <c r="D32" s="66" t="s">
        <v>429</v>
      </c>
      <c r="L32" s="6" t="s">
        <v>432</v>
      </c>
    </row>
    <row r="33" spans="2:4" x14ac:dyDescent="0.2">
      <c r="B33" t="s">
        <v>435</v>
      </c>
    </row>
    <row r="34" spans="2:4" x14ac:dyDescent="0.2">
      <c r="B34" t="str">
        <f>B29</f>
        <v xml:space="preserve">   NOx</v>
      </c>
      <c r="C34">
        <f>C29*C$25</f>
        <v>5663340</v>
      </c>
      <c r="D34" s="66" t="s">
        <v>190</v>
      </c>
    </row>
    <row r="35" spans="2:4" x14ac:dyDescent="0.2">
      <c r="B35" s="66" t="str">
        <f>B30</f>
        <v xml:space="preserve">   SO2</v>
      </c>
      <c r="C35" s="66">
        <f>C30*C$25</f>
        <v>104508.99416384872</v>
      </c>
      <c r="D35" s="66" t="s">
        <v>190</v>
      </c>
    </row>
    <row r="36" spans="2:4" x14ac:dyDescent="0.2">
      <c r="B36" s="66" t="str">
        <f>B31</f>
        <v xml:space="preserve">   VOC</v>
      </c>
      <c r="C36" s="66">
        <f>C31*C$25</f>
        <v>2690086.5</v>
      </c>
      <c r="D36" s="66" t="s">
        <v>190</v>
      </c>
    </row>
    <row r="37" spans="2:4" x14ac:dyDescent="0.2">
      <c r="B37" s="66" t="str">
        <f>B32</f>
        <v xml:space="preserve">   PM2.5</v>
      </c>
      <c r="C37" s="66">
        <f>C32*C$25</f>
        <v>283167</v>
      </c>
      <c r="D37" s="66" t="s">
        <v>190</v>
      </c>
    </row>
    <row r="38" spans="2:4" x14ac:dyDescent="0.2">
      <c r="B38" t="s">
        <v>436</v>
      </c>
    </row>
    <row r="39" spans="2:4" x14ac:dyDescent="0.2">
      <c r="B39" t="str">
        <f>B34</f>
        <v xml:space="preserve">   NOx</v>
      </c>
      <c r="C39">
        <f>C34/PARAMS!$C$64</f>
        <v>6.2427619504290748</v>
      </c>
      <c r="D39" t="s">
        <v>437</v>
      </c>
    </row>
    <row r="40" spans="2:4" x14ac:dyDescent="0.2">
      <c r="B40" s="66" t="str">
        <f>B35</f>
        <v xml:space="preserve">   SO2</v>
      </c>
      <c r="C40" s="66">
        <f>C35/PARAMS!$C$64</f>
        <v>0.11520141334330784</v>
      </c>
      <c r="D40" s="66" t="s">
        <v>437</v>
      </c>
    </row>
    <row r="41" spans="2:4" x14ac:dyDescent="0.2">
      <c r="B41" s="66" t="str">
        <f>B36</f>
        <v xml:space="preserve">   VOC</v>
      </c>
      <c r="C41" s="66">
        <f>C36/PARAMS!$C$64</f>
        <v>2.9653119264538104</v>
      </c>
      <c r="D41" s="66" t="s">
        <v>437</v>
      </c>
    </row>
    <row r="42" spans="2:4" x14ac:dyDescent="0.2">
      <c r="B42" s="66" t="str">
        <f>B37</f>
        <v xml:space="preserve">   PM2.5</v>
      </c>
      <c r="C42" s="66">
        <f>C37/PARAMS!$C$64</f>
        <v>0.31213809752145372</v>
      </c>
      <c r="D42" s="66" t="s">
        <v>437</v>
      </c>
    </row>
  </sheetData>
  <hyperlinks>
    <hyperlink ref="L29" r:id="rId1" xr:uid="{DE557D3F-EF69-426E-9B1E-1E46E6A8CE1F}"/>
    <hyperlink ref="L30" r:id="rId2" xr:uid="{0DCF4AFF-04E2-4464-A79E-181A7C65E31D}"/>
    <hyperlink ref="L31" r:id="rId3" xr:uid="{62D42C38-4FB6-45B0-B97E-92623C148E66}"/>
    <hyperlink ref="L32" r:id="rId4" xr:uid="{9609BAA3-2931-4126-86A5-4E8E0681B07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9A4F-E691-4410-AE56-EA5F8F23C896}">
  <dimension ref="A1:M95"/>
  <sheetViews>
    <sheetView workbookViewId="0">
      <selection activeCell="M11" sqref="A1:M11"/>
    </sheetView>
  </sheetViews>
  <sheetFormatPr baseColWidth="10" defaultColWidth="8.83203125" defaultRowHeight="15" x14ac:dyDescent="0.2"/>
  <cols>
    <col min="2" max="2" width="42.83203125" customWidth="1"/>
    <col min="3" max="3" width="16.33203125" bestFit="1" customWidth="1"/>
    <col min="4" max="4" width="22" bestFit="1" customWidth="1"/>
  </cols>
  <sheetData>
    <row r="1" spans="1:13" x14ac:dyDescent="0.2">
      <c r="A1" s="67" t="s">
        <v>480</v>
      </c>
    </row>
    <row r="3" spans="1:13" x14ac:dyDescent="0.2">
      <c r="B3" s="1" t="s">
        <v>4</v>
      </c>
      <c r="C3" s="1" t="s">
        <v>5</v>
      </c>
      <c r="D3" s="1" t="s">
        <v>6</v>
      </c>
      <c r="E3" s="1" t="s">
        <v>7</v>
      </c>
      <c r="F3" s="1"/>
      <c r="G3" s="1"/>
      <c r="H3" s="1"/>
      <c r="I3" s="1"/>
      <c r="J3" s="1"/>
      <c r="K3" s="1"/>
      <c r="L3" s="1" t="s">
        <v>8</v>
      </c>
    </row>
    <row r="5" spans="1:13" x14ac:dyDescent="0.2">
      <c r="B5" t="s">
        <v>138</v>
      </c>
      <c r="C5">
        <v>1.821</v>
      </c>
      <c r="D5" t="s">
        <v>125</v>
      </c>
      <c r="E5" t="s">
        <v>498</v>
      </c>
      <c r="L5" s="6" t="s">
        <v>497</v>
      </c>
      <c r="M5" s="6" t="s">
        <v>496</v>
      </c>
    </row>
    <row r="6" spans="1:13" x14ac:dyDescent="0.2">
      <c r="B6" t="s">
        <v>141</v>
      </c>
      <c r="C6">
        <v>2002</v>
      </c>
      <c r="D6">
        <v>2020</v>
      </c>
    </row>
    <row r="7" spans="1:13" x14ac:dyDescent="0.2">
      <c r="B7" t="s">
        <v>170</v>
      </c>
      <c r="C7">
        <v>1</v>
      </c>
      <c r="D7">
        <f>'1_MODEL_assumptions'!I16</f>
        <v>1.4347999999999999</v>
      </c>
      <c r="F7" t="s">
        <v>309</v>
      </c>
      <c r="H7" t="s">
        <v>311</v>
      </c>
      <c r="I7" t="s">
        <v>312</v>
      </c>
    </row>
    <row r="8" spans="1:13" x14ac:dyDescent="0.2">
      <c r="B8" t="s">
        <v>142</v>
      </c>
      <c r="C8" s="50">
        <v>0.10967987804878049</v>
      </c>
      <c r="D8" s="49">
        <f t="shared" ref="D8:D15" si="0">C8*$D$7</f>
        <v>0.15736868902439022</v>
      </c>
      <c r="E8" t="s">
        <v>125</v>
      </c>
      <c r="F8" s="18">
        <f>0.184+0.06</f>
        <v>0.24399999999999999</v>
      </c>
      <c r="G8" t="s">
        <v>310</v>
      </c>
      <c r="H8">
        <f>truckmpg</f>
        <v>5.9</v>
      </c>
      <c r="I8" s="18">
        <f>F8/H8</f>
        <v>4.1355932203389824E-2</v>
      </c>
      <c r="J8" s="18">
        <f>D8-I8</f>
        <v>0.1160127568210004</v>
      </c>
    </row>
    <row r="9" spans="1:13" x14ac:dyDescent="0.2">
      <c r="B9" t="s">
        <v>143</v>
      </c>
      <c r="C9" s="50">
        <v>0.18681671216114423</v>
      </c>
      <c r="D9" s="49">
        <f t="shared" si="0"/>
        <v>0.26804461860880974</v>
      </c>
      <c r="E9" t="s">
        <v>125</v>
      </c>
    </row>
    <row r="10" spans="1:13" x14ac:dyDescent="0.2">
      <c r="B10" t="s">
        <v>144</v>
      </c>
      <c r="C10" s="50">
        <v>4.5612128200301118E-2</v>
      </c>
      <c r="D10" s="49">
        <f t="shared" si="0"/>
        <v>6.5444281541792035E-2</v>
      </c>
      <c r="E10" t="s">
        <v>125</v>
      </c>
    </row>
    <row r="11" spans="1:13" x14ac:dyDescent="0.2">
      <c r="B11" t="s">
        <v>145</v>
      </c>
      <c r="C11" s="50">
        <v>2.7936158697289104E-2</v>
      </c>
      <c r="D11" s="49">
        <f t="shared" si="0"/>
        <v>4.0082800498870405E-2</v>
      </c>
      <c r="E11" t="s">
        <v>125</v>
      </c>
    </row>
    <row r="12" spans="1:13" x14ac:dyDescent="0.2">
      <c r="B12" t="s">
        <v>146</v>
      </c>
      <c r="C12" s="50">
        <v>3.4470818815331018E-2</v>
      </c>
      <c r="D12" s="49">
        <f t="shared" si="0"/>
        <v>4.945873083623694E-2</v>
      </c>
      <c r="E12" t="s">
        <v>125</v>
      </c>
      <c r="F12" s="18">
        <v>0.184</v>
      </c>
      <c r="G12" t="s">
        <v>310</v>
      </c>
      <c r="H12">
        <f>truckmpg</f>
        <v>5.9</v>
      </c>
      <c r="I12" s="18">
        <f>F12/H12</f>
        <v>3.1186440677966099E-2</v>
      </c>
      <c r="J12" s="18">
        <f>D12-I12</f>
        <v>1.8272290158270841E-2</v>
      </c>
    </row>
    <row r="13" spans="1:13" x14ac:dyDescent="0.2">
      <c r="B13" t="s">
        <v>147</v>
      </c>
      <c r="C13" s="50">
        <v>1.9637921022067361E-2</v>
      </c>
      <c r="D13" s="49">
        <f t="shared" si="0"/>
        <v>2.8176489082462248E-2</v>
      </c>
      <c r="E13" t="s">
        <v>125</v>
      </c>
    </row>
    <row r="14" spans="1:13" x14ac:dyDescent="0.2">
      <c r="B14" t="s">
        <v>148</v>
      </c>
      <c r="C14" s="50">
        <v>4.0215955284552844E-2</v>
      </c>
      <c r="D14" s="49">
        <f t="shared" si="0"/>
        <v>5.7701852642276417E-2</v>
      </c>
      <c r="E14" t="s">
        <v>125</v>
      </c>
    </row>
    <row r="15" spans="1:13" x14ac:dyDescent="0.2">
      <c r="B15" t="s">
        <v>149</v>
      </c>
      <c r="C15" s="50">
        <v>1.7757694541231126E-3</v>
      </c>
      <c r="D15" s="49">
        <f t="shared" si="0"/>
        <v>2.5478740127758415E-3</v>
      </c>
      <c r="E15" t="s">
        <v>125</v>
      </c>
    </row>
    <row r="16" spans="1:13" x14ac:dyDescent="0.2">
      <c r="B16" t="s">
        <v>321</v>
      </c>
      <c r="C16" s="50">
        <v>0.88</v>
      </c>
      <c r="D16" s="49">
        <f t="shared" ref="D16:D17" si="1">C16*$D$7</f>
        <v>1.262624</v>
      </c>
      <c r="E16" t="s">
        <v>125</v>
      </c>
      <c r="L16" s="6" t="s">
        <v>323</v>
      </c>
      <c r="M16" t="s">
        <v>324</v>
      </c>
    </row>
    <row r="17" spans="1:13" x14ac:dyDescent="0.2">
      <c r="B17" t="s">
        <v>322</v>
      </c>
      <c r="C17" s="50">
        <v>1.1499999999999999</v>
      </c>
      <c r="D17" s="49">
        <f t="shared" si="1"/>
        <v>1.6500199999999996</v>
      </c>
      <c r="E17" t="s">
        <v>125</v>
      </c>
      <c r="L17" s="6" t="s">
        <v>323</v>
      </c>
      <c r="M17" t="s">
        <v>324</v>
      </c>
    </row>
    <row r="18" spans="1:13" s="66" customFormat="1" x14ac:dyDescent="0.2">
      <c r="A18" s="66" t="s">
        <v>510</v>
      </c>
      <c r="B18" s="66" t="s">
        <v>502</v>
      </c>
      <c r="C18" s="39">
        <v>0.86</v>
      </c>
      <c r="D18" s="49" t="s">
        <v>505</v>
      </c>
      <c r="L18" s="6" t="s">
        <v>504</v>
      </c>
    </row>
    <row r="19" spans="1:13" s="66" customFormat="1" x14ac:dyDescent="0.2">
      <c r="A19" s="66" t="s">
        <v>510</v>
      </c>
      <c r="B19" s="66" t="s">
        <v>503</v>
      </c>
      <c r="C19" s="39">
        <v>1.7</v>
      </c>
      <c r="D19" s="49" t="s">
        <v>505</v>
      </c>
      <c r="L19" s="6" t="s">
        <v>504</v>
      </c>
    </row>
    <row r="20" spans="1:13" s="66" customFormat="1" x14ac:dyDescent="0.2">
      <c r="A20" s="66" t="s">
        <v>510</v>
      </c>
      <c r="B20" s="66" t="s">
        <v>506</v>
      </c>
      <c r="C20" s="85">
        <v>9600000</v>
      </c>
      <c r="D20" s="49" t="s">
        <v>507</v>
      </c>
      <c r="E20" s="66" t="s">
        <v>508</v>
      </c>
      <c r="L20" s="6" t="s">
        <v>509</v>
      </c>
    </row>
    <row r="21" spans="1:13" x14ac:dyDescent="0.2">
      <c r="B21" t="s">
        <v>150</v>
      </c>
      <c r="C21" s="5">
        <v>0.3</v>
      </c>
    </row>
    <row r="22" spans="1:13" x14ac:dyDescent="0.2">
      <c r="B22" t="s">
        <v>151</v>
      </c>
      <c r="C22" s="5">
        <v>0.7</v>
      </c>
    </row>
    <row r="23" spans="1:13" x14ac:dyDescent="0.2">
      <c r="B23" t="s">
        <v>152</v>
      </c>
      <c r="C23">
        <v>5.9</v>
      </c>
      <c r="D23" t="s">
        <v>153</v>
      </c>
      <c r="L23" s="6" t="s">
        <v>154</v>
      </c>
      <c r="M23" t="s">
        <v>155</v>
      </c>
    </row>
    <row r="24" spans="1:13" x14ac:dyDescent="0.2">
      <c r="B24" t="s">
        <v>372</v>
      </c>
      <c r="E24" t="s">
        <v>333</v>
      </c>
    </row>
    <row r="25" spans="1:13" x14ac:dyDescent="0.2">
      <c r="B25" t="s">
        <v>334</v>
      </c>
      <c r="C25">
        <v>4.5819000000000001</v>
      </c>
      <c r="D25" t="s">
        <v>339</v>
      </c>
      <c r="L25" t="s">
        <v>338</v>
      </c>
    </row>
    <row r="26" spans="1:13" x14ac:dyDescent="0.2">
      <c r="B26" t="s">
        <v>335</v>
      </c>
      <c r="C26">
        <v>0.40510000000000002</v>
      </c>
      <c r="D26" t="s">
        <v>339</v>
      </c>
      <c r="L26" t="s">
        <v>338</v>
      </c>
    </row>
    <row r="27" spans="1:13" x14ac:dyDescent="0.2">
      <c r="B27" t="s">
        <v>336</v>
      </c>
      <c r="C27">
        <f>SUM(0.0331)</f>
        <v>3.3099999999999997E-2</v>
      </c>
      <c r="D27" t="s">
        <v>339</v>
      </c>
      <c r="L27" t="s">
        <v>338</v>
      </c>
    </row>
    <row r="28" spans="1:13" x14ac:dyDescent="0.2">
      <c r="B28" t="s">
        <v>337</v>
      </c>
      <c r="C28">
        <v>1.49E-2</v>
      </c>
      <c r="D28" t="s">
        <v>339</v>
      </c>
      <c r="L28" t="s">
        <v>338</v>
      </c>
    </row>
    <row r="29" spans="1:13" x14ac:dyDescent="0.2">
      <c r="B29" t="s">
        <v>347</v>
      </c>
      <c r="C29">
        <v>22.4</v>
      </c>
      <c r="D29" t="s">
        <v>348</v>
      </c>
      <c r="L29" s="6" t="s">
        <v>349</v>
      </c>
    </row>
    <row r="30" spans="1:13" x14ac:dyDescent="0.2">
      <c r="B30" t="s">
        <v>344</v>
      </c>
      <c r="L30" s="6"/>
    </row>
    <row r="31" spans="1:13" x14ac:dyDescent="0.2">
      <c r="B31" t="str">
        <f>B25</f>
        <v xml:space="preserve">   NOx</v>
      </c>
      <c r="C31" s="37">
        <v>8300</v>
      </c>
      <c r="D31" t="s">
        <v>345</v>
      </c>
      <c r="L31" t="s">
        <v>346</v>
      </c>
    </row>
    <row r="32" spans="1:13" x14ac:dyDescent="0.2">
      <c r="B32" t="str">
        <f>B26</f>
        <v xml:space="preserve">   VOCs</v>
      </c>
      <c r="C32" s="37">
        <v>2000</v>
      </c>
      <c r="D32" t="s">
        <v>345</v>
      </c>
      <c r="L32" t="s">
        <v>346</v>
      </c>
    </row>
    <row r="33" spans="2:12" x14ac:dyDescent="0.2">
      <c r="B33" t="str">
        <f>B27</f>
        <v xml:space="preserve">   PM2.5</v>
      </c>
      <c r="C33" s="37">
        <v>377800</v>
      </c>
      <c r="D33" t="s">
        <v>345</v>
      </c>
      <c r="L33" t="s">
        <v>346</v>
      </c>
    </row>
    <row r="34" spans="2:12" x14ac:dyDescent="0.2">
      <c r="B34" t="str">
        <f>B28</f>
        <v xml:space="preserve">   SO2</v>
      </c>
      <c r="C34" s="37">
        <v>48900</v>
      </c>
      <c r="D34" t="s">
        <v>345</v>
      </c>
      <c r="L34" t="s">
        <v>346</v>
      </c>
    </row>
    <row r="35" spans="2:12" x14ac:dyDescent="0.2">
      <c r="B35" t="s">
        <v>357</v>
      </c>
      <c r="C35" s="24">
        <v>18</v>
      </c>
      <c r="D35" t="s">
        <v>358</v>
      </c>
    </row>
    <row r="36" spans="2:12" x14ac:dyDescent="0.2">
      <c r="B36" t="s">
        <v>370</v>
      </c>
      <c r="C36" s="52">
        <v>1.6000000000000001E-3</v>
      </c>
      <c r="D36" t="s">
        <v>125</v>
      </c>
      <c r="L36" s="6" t="s">
        <v>371</v>
      </c>
    </row>
    <row r="37" spans="2:12" x14ac:dyDescent="0.2">
      <c r="B37" t="s">
        <v>373</v>
      </c>
      <c r="C37" s="37"/>
    </row>
    <row r="38" spans="2:12" x14ac:dyDescent="0.2">
      <c r="B38" t="s">
        <v>334</v>
      </c>
      <c r="C38" s="54">
        <v>1.3</v>
      </c>
      <c r="D38" t="s">
        <v>376</v>
      </c>
      <c r="E38" t="s">
        <v>395</v>
      </c>
      <c r="L38" s="6" t="s">
        <v>377</v>
      </c>
    </row>
    <row r="39" spans="2:12" x14ac:dyDescent="0.2">
      <c r="B39" t="s">
        <v>335</v>
      </c>
      <c r="C39" s="53">
        <v>0.14000000000000001</v>
      </c>
      <c r="D39" t="s">
        <v>376</v>
      </c>
      <c r="E39" t="s">
        <v>395</v>
      </c>
      <c r="L39" t="s">
        <v>377</v>
      </c>
    </row>
    <row r="40" spans="2:12" x14ac:dyDescent="0.2">
      <c r="B40" t="s">
        <v>336</v>
      </c>
      <c r="C40" s="53">
        <v>6.0000000000000001E-3</v>
      </c>
      <c r="D40" t="s">
        <v>376</v>
      </c>
      <c r="E40" t="s">
        <v>395</v>
      </c>
      <c r="L40" t="s">
        <v>393</v>
      </c>
    </row>
    <row r="41" spans="2:12" x14ac:dyDescent="0.2">
      <c r="B41" t="s">
        <v>374</v>
      </c>
      <c r="C41" s="37" t="s">
        <v>375</v>
      </c>
    </row>
    <row r="42" spans="2:12" x14ac:dyDescent="0.2">
      <c r="B42" t="s">
        <v>379</v>
      </c>
      <c r="C42" s="39">
        <v>20.8</v>
      </c>
      <c r="D42" t="s">
        <v>380</v>
      </c>
      <c r="E42" t="s">
        <v>395</v>
      </c>
      <c r="L42" t="s">
        <v>377</v>
      </c>
    </row>
    <row r="43" spans="2:12" x14ac:dyDescent="0.2">
      <c r="B43" t="str">
        <f>B38</f>
        <v xml:space="preserve">   NOx</v>
      </c>
      <c r="C43" s="39">
        <f>C38*C$42</f>
        <v>27.040000000000003</v>
      </c>
      <c r="D43" t="s">
        <v>378</v>
      </c>
      <c r="E43" t="s">
        <v>395</v>
      </c>
      <c r="L43" t="s">
        <v>381</v>
      </c>
    </row>
    <row r="44" spans="2:12" x14ac:dyDescent="0.2">
      <c r="B44" t="str">
        <f>B39</f>
        <v xml:space="preserve">   VOCs</v>
      </c>
      <c r="C44" s="39">
        <f>C39*C$42</f>
        <v>2.9120000000000004</v>
      </c>
      <c r="D44" t="s">
        <v>378</v>
      </c>
      <c r="E44" t="s">
        <v>395</v>
      </c>
      <c r="L44" t="s">
        <v>381</v>
      </c>
    </row>
    <row r="45" spans="2:12" x14ac:dyDescent="0.2">
      <c r="B45" t="str">
        <f>B40</f>
        <v xml:space="preserve">   PM2.5</v>
      </c>
      <c r="C45" s="39">
        <f>C40*C$42</f>
        <v>0.12480000000000001</v>
      </c>
      <c r="D45" t="s">
        <v>378</v>
      </c>
      <c r="E45" t="s">
        <v>395</v>
      </c>
      <c r="L45" t="s">
        <v>381</v>
      </c>
    </row>
    <row r="46" spans="2:12" x14ac:dyDescent="0.2">
      <c r="B46" t="str">
        <f>B41</f>
        <v xml:space="preserve">   SO2  </v>
      </c>
      <c r="C46" s="39" t="s">
        <v>375</v>
      </c>
      <c r="D46" t="s">
        <v>378</v>
      </c>
      <c r="E46" t="s">
        <v>395</v>
      </c>
    </row>
    <row r="47" spans="2:12" x14ac:dyDescent="0.2">
      <c r="B47" t="s">
        <v>382</v>
      </c>
      <c r="C47" s="39">
        <v>400</v>
      </c>
      <c r="D47" t="s">
        <v>388</v>
      </c>
      <c r="E47" t="s">
        <v>384</v>
      </c>
      <c r="L47" s="6" t="s">
        <v>377</v>
      </c>
    </row>
    <row r="48" spans="2:12" x14ac:dyDescent="0.2">
      <c r="B48" t="str">
        <f>B43</f>
        <v xml:space="preserve">   NOx</v>
      </c>
      <c r="C48" s="55">
        <f>C43/C$47</f>
        <v>6.7600000000000007E-2</v>
      </c>
      <c r="D48" t="s">
        <v>385</v>
      </c>
      <c r="E48" t="s">
        <v>395</v>
      </c>
    </row>
    <row r="49" spans="1:12" x14ac:dyDescent="0.2">
      <c r="B49" t="str">
        <f>B44</f>
        <v xml:space="preserve">   VOCs</v>
      </c>
      <c r="C49" s="55">
        <f>C44/C$47</f>
        <v>7.2800000000000009E-3</v>
      </c>
      <c r="D49" t="s">
        <v>385</v>
      </c>
      <c r="E49" t="s">
        <v>395</v>
      </c>
    </row>
    <row r="50" spans="1:12" x14ac:dyDescent="0.2">
      <c r="B50" t="str">
        <f>B45</f>
        <v xml:space="preserve">   PM2.5</v>
      </c>
      <c r="C50" s="55">
        <f>C45/C$47</f>
        <v>3.1199999999999999E-4</v>
      </c>
      <c r="D50" t="s">
        <v>385</v>
      </c>
      <c r="E50" t="s">
        <v>395</v>
      </c>
    </row>
    <row r="51" spans="1:12" x14ac:dyDescent="0.2">
      <c r="B51" t="str">
        <f>B46</f>
        <v xml:space="preserve">   SO2  </v>
      </c>
      <c r="C51" s="39" t="s">
        <v>375</v>
      </c>
      <c r="E51" t="s">
        <v>395</v>
      </c>
    </row>
    <row r="52" spans="1:12" x14ac:dyDescent="0.2">
      <c r="B52" t="s">
        <v>386</v>
      </c>
      <c r="C52" s="39"/>
      <c r="E52" t="s">
        <v>395</v>
      </c>
    </row>
    <row r="53" spans="1:12" x14ac:dyDescent="0.2">
      <c r="B53" t="str">
        <f>B48</f>
        <v xml:space="preserve">   NOx</v>
      </c>
      <c r="C53" s="59">
        <f>C48/$C$64</f>
        <v>7.4516223262068942E-8</v>
      </c>
      <c r="D53" t="s">
        <v>387</v>
      </c>
      <c r="E53" t="s">
        <v>395</v>
      </c>
    </row>
    <row r="54" spans="1:12" x14ac:dyDescent="0.2">
      <c r="B54" t="str">
        <f>B49</f>
        <v xml:space="preserve">   VOCs</v>
      </c>
      <c r="C54" s="59">
        <f>C49/$C$64</f>
        <v>8.0248240436074242E-9</v>
      </c>
      <c r="D54" t="s">
        <v>387</v>
      </c>
      <c r="E54" t="s">
        <v>395</v>
      </c>
    </row>
    <row r="55" spans="1:12" x14ac:dyDescent="0.2">
      <c r="B55" t="str">
        <f>B50</f>
        <v xml:space="preserve">   PM2.5</v>
      </c>
      <c r="C55" s="59">
        <f>C50/$C$64</f>
        <v>3.4392103044031814E-10</v>
      </c>
      <c r="D55" t="s">
        <v>387</v>
      </c>
      <c r="E55" t="s">
        <v>395</v>
      </c>
    </row>
    <row r="56" spans="1:12" x14ac:dyDescent="0.2">
      <c r="B56" t="str">
        <f>B51</f>
        <v xml:space="preserve">   SO2  </v>
      </c>
      <c r="C56" s="59" t="s">
        <v>375</v>
      </c>
      <c r="E56" t="s">
        <v>395</v>
      </c>
    </row>
    <row r="57" spans="1:12" x14ac:dyDescent="0.2">
      <c r="B57" t="s">
        <v>389</v>
      </c>
      <c r="C57" s="57">
        <f>1/C47</f>
        <v>2.5000000000000001E-3</v>
      </c>
      <c r="D57" t="s">
        <v>383</v>
      </c>
      <c r="E57" t="s">
        <v>395</v>
      </c>
    </row>
    <row r="58" spans="1:12" x14ac:dyDescent="0.2">
      <c r="B58" t="s">
        <v>390</v>
      </c>
      <c r="C58">
        <v>22.4</v>
      </c>
      <c r="D58" t="s">
        <v>348</v>
      </c>
      <c r="E58" t="s">
        <v>395</v>
      </c>
      <c r="L58" s="6" t="s">
        <v>349</v>
      </c>
    </row>
    <row r="59" spans="1:12" x14ac:dyDescent="0.2">
      <c r="B59" t="s">
        <v>390</v>
      </c>
      <c r="C59" s="58">
        <f>C57*C58/2000</f>
        <v>2.7999999999999996E-5</v>
      </c>
      <c r="D59" t="s">
        <v>391</v>
      </c>
      <c r="E59" t="s">
        <v>395</v>
      </c>
    </row>
    <row r="60" spans="1:12" x14ac:dyDescent="0.2">
      <c r="B60" t="s">
        <v>390</v>
      </c>
      <c r="C60" s="39">
        <f>C57*C58</f>
        <v>5.5999999999999994E-2</v>
      </c>
      <c r="D60" t="s">
        <v>396</v>
      </c>
      <c r="E60" t="s">
        <v>395</v>
      </c>
    </row>
    <row r="61" spans="1:12" x14ac:dyDescent="0.2">
      <c r="C61" s="57"/>
    </row>
    <row r="62" spans="1:12" x14ac:dyDescent="0.2">
      <c r="L62" t="s">
        <v>139</v>
      </c>
    </row>
    <row r="63" spans="1:12" x14ac:dyDescent="0.2">
      <c r="A63" t="s">
        <v>342</v>
      </c>
      <c r="L63" t="s">
        <v>139</v>
      </c>
    </row>
    <row r="64" spans="1:12" x14ac:dyDescent="0.2">
      <c r="B64" t="s">
        <v>343</v>
      </c>
      <c r="C64">
        <f>907185</f>
        <v>907185</v>
      </c>
      <c r="D64" t="s">
        <v>340</v>
      </c>
      <c r="L64" t="s">
        <v>139</v>
      </c>
    </row>
    <row r="65" spans="12:12" x14ac:dyDescent="0.2">
      <c r="L65" t="s">
        <v>139</v>
      </c>
    </row>
    <row r="66" spans="12:12" x14ac:dyDescent="0.2">
      <c r="L66" t="s">
        <v>139</v>
      </c>
    </row>
    <row r="67" spans="12:12" x14ac:dyDescent="0.2">
      <c r="L67" t="s">
        <v>139</v>
      </c>
    </row>
    <row r="68" spans="12:12" x14ac:dyDescent="0.2">
      <c r="L68" t="s">
        <v>139</v>
      </c>
    </row>
    <row r="69" spans="12:12" x14ac:dyDescent="0.2">
      <c r="L69" t="s">
        <v>139</v>
      </c>
    </row>
    <row r="70" spans="12:12" x14ac:dyDescent="0.2">
      <c r="L70" t="s">
        <v>139</v>
      </c>
    </row>
    <row r="71" spans="12:12" x14ac:dyDescent="0.2">
      <c r="L71" t="s">
        <v>139</v>
      </c>
    </row>
    <row r="72" spans="12:12" x14ac:dyDescent="0.2">
      <c r="L72" t="s">
        <v>139</v>
      </c>
    </row>
    <row r="73" spans="12:12" x14ac:dyDescent="0.2">
      <c r="L73" t="s">
        <v>139</v>
      </c>
    </row>
    <row r="74" spans="12:12" x14ac:dyDescent="0.2">
      <c r="L74" t="s">
        <v>139</v>
      </c>
    </row>
    <row r="75" spans="12:12" x14ac:dyDescent="0.2">
      <c r="L75" t="s">
        <v>139</v>
      </c>
    </row>
    <row r="76" spans="12:12" x14ac:dyDescent="0.2">
      <c r="L76" t="s">
        <v>139</v>
      </c>
    </row>
    <row r="77" spans="12:12" x14ac:dyDescent="0.2">
      <c r="L77" t="s">
        <v>139</v>
      </c>
    </row>
    <row r="78" spans="12:12" x14ac:dyDescent="0.2">
      <c r="L78" t="s">
        <v>139</v>
      </c>
    </row>
    <row r="79" spans="12:12" x14ac:dyDescent="0.2">
      <c r="L79" t="s">
        <v>139</v>
      </c>
    </row>
    <row r="80" spans="12:12" x14ac:dyDescent="0.2">
      <c r="L80" t="s">
        <v>139</v>
      </c>
    </row>
    <row r="81" spans="12:12" x14ac:dyDescent="0.2">
      <c r="L81" t="s">
        <v>139</v>
      </c>
    </row>
    <row r="82" spans="12:12" x14ac:dyDescent="0.2">
      <c r="L82" t="s">
        <v>139</v>
      </c>
    </row>
    <row r="83" spans="12:12" x14ac:dyDescent="0.2">
      <c r="L83" t="s">
        <v>139</v>
      </c>
    </row>
    <row r="84" spans="12:12" x14ac:dyDescent="0.2">
      <c r="L84" t="s">
        <v>139</v>
      </c>
    </row>
    <row r="85" spans="12:12" x14ac:dyDescent="0.2">
      <c r="L85" t="s">
        <v>139</v>
      </c>
    </row>
    <row r="86" spans="12:12" x14ac:dyDescent="0.2">
      <c r="L86" t="s">
        <v>139</v>
      </c>
    </row>
    <row r="87" spans="12:12" x14ac:dyDescent="0.2">
      <c r="L87" t="s">
        <v>139</v>
      </c>
    </row>
    <row r="88" spans="12:12" x14ac:dyDescent="0.2">
      <c r="L88" t="s">
        <v>139</v>
      </c>
    </row>
    <row r="89" spans="12:12" x14ac:dyDescent="0.2">
      <c r="L89" t="s">
        <v>139</v>
      </c>
    </row>
    <row r="90" spans="12:12" x14ac:dyDescent="0.2">
      <c r="L90" t="s">
        <v>139</v>
      </c>
    </row>
    <row r="91" spans="12:12" x14ac:dyDescent="0.2">
      <c r="L91" t="s">
        <v>139</v>
      </c>
    </row>
    <row r="92" spans="12:12" x14ac:dyDescent="0.2">
      <c r="L92" t="s">
        <v>139</v>
      </c>
    </row>
    <row r="93" spans="12:12" x14ac:dyDescent="0.2">
      <c r="L93" t="s">
        <v>139</v>
      </c>
    </row>
    <row r="94" spans="12:12" x14ac:dyDescent="0.2">
      <c r="L94" t="s">
        <v>139</v>
      </c>
    </row>
    <row r="95" spans="12:12" x14ac:dyDescent="0.2">
      <c r="L95" t="s">
        <v>139</v>
      </c>
    </row>
  </sheetData>
  <hyperlinks>
    <hyperlink ref="M5" r:id="rId1" display="https://atri-online.org/wp-content/uploads/2018/10/ATRI-Operational-Costs-of-Trucking-2018.pdf" xr:uid="{87027DC4-3596-4997-9161-90B8DD68656E}"/>
    <hyperlink ref="L23" r:id="rId2" xr:uid="{6C415CC8-8E2D-40BE-8A4E-C272C2B010AB}"/>
    <hyperlink ref="L29" r:id="rId3" xr:uid="{AE82755A-B188-494A-948C-C966F6F9130A}"/>
    <hyperlink ref="L36" r:id="rId4" xr:uid="{A094B768-055E-437B-AE8E-861CB7BA5269}"/>
    <hyperlink ref="L38" r:id="rId5" xr:uid="{E3C23700-B130-4D19-9C93-1DF5460BF777}"/>
    <hyperlink ref="L47" r:id="rId6" xr:uid="{F1AC915C-1196-453B-B16C-63033735E89B}"/>
    <hyperlink ref="L58" r:id="rId7" xr:uid="{B38A0CB2-7DAD-42FC-A7CF-B184E1E419B1}"/>
    <hyperlink ref="L5" r:id="rId8" display="https://truckingresearch.org/wp-content/uploads/2019/11/ATRI-Operational-Costs-of-Trucking-2019-1.pdf" xr:uid="{3955E948-AB5C-4D56-B624-8157960580E5}"/>
    <hyperlink ref="L18" r:id="rId9" xr:uid="{5B7A3017-E710-492A-A98D-1B07E5A6136C}"/>
    <hyperlink ref="L19" r:id="rId10" xr:uid="{61116D8C-9F0F-4571-9919-D1E5E14BC4AB}"/>
    <hyperlink ref="L20" r:id="rId11" xr:uid="{B120A90B-BED6-411D-A6BF-E6DA01A47619}"/>
  </hyperlinks>
  <pageMargins left="0.7" right="0.7" top="0.75" bottom="0.75" header="0.3" footer="0.3"/>
  <pageSetup orientation="portrait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1501-285E-4DB9-A905-3E3E6A770652}">
  <dimension ref="A1:BA98"/>
  <sheetViews>
    <sheetView workbookViewId="0">
      <selection activeCell="M11" sqref="A1:M11"/>
    </sheetView>
  </sheetViews>
  <sheetFormatPr baseColWidth="10" defaultColWidth="8.83203125" defaultRowHeight="15" x14ac:dyDescent="0.2"/>
  <cols>
    <col min="3" max="3" width="19.5" bestFit="1" customWidth="1"/>
    <col min="4" max="4" width="9.83203125" customWidth="1"/>
    <col min="5" max="16" width="10.5" bestFit="1" customWidth="1"/>
    <col min="17" max="19" width="10.6640625" bestFit="1" customWidth="1"/>
    <col min="20" max="20" width="13.33203125" bestFit="1" customWidth="1"/>
    <col min="21" max="21" width="10.5" bestFit="1" customWidth="1"/>
    <col min="22" max="22" width="13.33203125" bestFit="1" customWidth="1"/>
    <col min="23" max="29" width="9.5" bestFit="1" customWidth="1"/>
    <col min="30" max="43" width="10.1640625" bestFit="1" customWidth="1"/>
  </cols>
  <sheetData>
    <row r="1" spans="1:53" x14ac:dyDescent="0.2">
      <c r="A1" s="67" t="s">
        <v>484</v>
      </c>
    </row>
    <row r="2" spans="1:53" ht="16" thickBot="1" x14ac:dyDescent="0.25">
      <c r="A2" t="s">
        <v>29</v>
      </c>
      <c r="D2" t="s">
        <v>6</v>
      </c>
      <c r="E2">
        <v>2002</v>
      </c>
      <c r="F2">
        <f>E2+1</f>
        <v>2003</v>
      </c>
      <c r="G2">
        <f t="shared" ref="G2:BA2" si="0">F2+1</f>
        <v>2004</v>
      </c>
      <c r="H2">
        <f t="shared" si="0"/>
        <v>2005</v>
      </c>
      <c r="I2">
        <f t="shared" si="0"/>
        <v>2006</v>
      </c>
      <c r="J2">
        <f t="shared" si="0"/>
        <v>2007</v>
      </c>
      <c r="K2">
        <f t="shared" si="0"/>
        <v>2008</v>
      </c>
      <c r="L2">
        <f t="shared" si="0"/>
        <v>2009</v>
      </c>
      <c r="M2">
        <f t="shared" si="0"/>
        <v>2010</v>
      </c>
      <c r="N2">
        <f t="shared" si="0"/>
        <v>2011</v>
      </c>
      <c r="O2">
        <f t="shared" si="0"/>
        <v>2012</v>
      </c>
      <c r="P2">
        <f t="shared" si="0"/>
        <v>2013</v>
      </c>
      <c r="Q2">
        <f t="shared" si="0"/>
        <v>2014</v>
      </c>
      <c r="R2">
        <f t="shared" si="0"/>
        <v>2015</v>
      </c>
      <c r="S2">
        <f t="shared" si="0"/>
        <v>2016</v>
      </c>
      <c r="T2">
        <f t="shared" si="0"/>
        <v>2017</v>
      </c>
      <c r="U2">
        <f t="shared" si="0"/>
        <v>2018</v>
      </c>
      <c r="V2">
        <f t="shared" si="0"/>
        <v>2019</v>
      </c>
      <c r="W2">
        <f t="shared" si="0"/>
        <v>2020</v>
      </c>
      <c r="X2">
        <f t="shared" si="0"/>
        <v>2021</v>
      </c>
      <c r="Y2">
        <f t="shared" si="0"/>
        <v>2022</v>
      </c>
      <c r="Z2">
        <f t="shared" si="0"/>
        <v>2023</v>
      </c>
      <c r="AA2">
        <f t="shared" si="0"/>
        <v>2024</v>
      </c>
      <c r="AB2">
        <f t="shared" si="0"/>
        <v>2025</v>
      </c>
      <c r="AC2">
        <f t="shared" si="0"/>
        <v>2026</v>
      </c>
      <c r="AD2">
        <f t="shared" si="0"/>
        <v>2027</v>
      </c>
      <c r="AE2">
        <f t="shared" si="0"/>
        <v>2028</v>
      </c>
      <c r="AF2">
        <f t="shared" si="0"/>
        <v>2029</v>
      </c>
      <c r="AG2">
        <f t="shared" si="0"/>
        <v>2030</v>
      </c>
      <c r="AH2">
        <f t="shared" si="0"/>
        <v>2031</v>
      </c>
      <c r="AI2">
        <f t="shared" si="0"/>
        <v>2032</v>
      </c>
      <c r="AJ2">
        <f t="shared" si="0"/>
        <v>2033</v>
      </c>
      <c r="AK2">
        <f t="shared" si="0"/>
        <v>2034</v>
      </c>
      <c r="AL2">
        <f t="shared" si="0"/>
        <v>2035</v>
      </c>
      <c r="AM2">
        <f t="shared" si="0"/>
        <v>2036</v>
      </c>
      <c r="AN2">
        <f t="shared" si="0"/>
        <v>2037</v>
      </c>
      <c r="AO2">
        <f t="shared" si="0"/>
        <v>2038</v>
      </c>
      <c r="AP2">
        <f t="shared" si="0"/>
        <v>2039</v>
      </c>
      <c r="AQ2">
        <f t="shared" si="0"/>
        <v>2040</v>
      </c>
      <c r="AR2">
        <f t="shared" si="0"/>
        <v>2041</v>
      </c>
      <c r="AS2">
        <f t="shared" si="0"/>
        <v>2042</v>
      </c>
      <c r="AT2">
        <f t="shared" si="0"/>
        <v>2043</v>
      </c>
      <c r="AU2">
        <f t="shared" si="0"/>
        <v>2044</v>
      </c>
      <c r="AV2">
        <f t="shared" si="0"/>
        <v>2045</v>
      </c>
      <c r="AW2">
        <f t="shared" si="0"/>
        <v>2046</v>
      </c>
      <c r="AX2">
        <f t="shared" si="0"/>
        <v>2047</v>
      </c>
      <c r="AY2">
        <f t="shared" si="0"/>
        <v>2048</v>
      </c>
      <c r="AZ2">
        <f t="shared" si="0"/>
        <v>2049</v>
      </c>
      <c r="BA2">
        <f t="shared" si="0"/>
        <v>2050</v>
      </c>
    </row>
    <row r="3" spans="1:53" x14ac:dyDescent="0.2">
      <c r="B3" s="8" t="s">
        <v>10</v>
      </c>
      <c r="C3" s="8" t="s">
        <v>11</v>
      </c>
      <c r="D3" s="8"/>
      <c r="E3" s="9">
        <v>991037</v>
      </c>
      <c r="F3" s="9">
        <v>1098318</v>
      </c>
      <c r="G3" s="9">
        <v>1301246</v>
      </c>
      <c r="H3" s="9">
        <v>1591634</v>
      </c>
      <c r="I3" s="9">
        <v>1545455</v>
      </c>
      <c r="J3" s="9">
        <v>1504485</v>
      </c>
      <c r="K3" s="9">
        <v>1313425</v>
      </c>
      <c r="L3" s="9">
        <v>1084767</v>
      </c>
      <c r="M3" s="9">
        <v>1373976</v>
      </c>
      <c r="N3" s="9">
        <v>1248791.96</v>
      </c>
      <c r="O3" s="9">
        <v>1339642</v>
      </c>
      <c r="P3" s="9">
        <v>1238894</v>
      </c>
      <c r="Q3" s="9">
        <v>1217374</v>
      </c>
      <c r="R3" s="9">
        <v>1308214</v>
      </c>
      <c r="S3" s="10">
        <v>1382768.4778127032</v>
      </c>
      <c r="T3" s="19"/>
      <c r="U3" s="19"/>
      <c r="V3" s="19"/>
    </row>
    <row r="4" spans="1:53" x14ac:dyDescent="0.2">
      <c r="C4" t="s">
        <v>12</v>
      </c>
      <c r="E4" s="11">
        <v>637513</v>
      </c>
      <c r="F4" s="11">
        <v>694387</v>
      </c>
      <c r="G4" s="11">
        <v>732612</v>
      </c>
      <c r="H4" s="11">
        <v>850748</v>
      </c>
      <c r="I4" s="11">
        <v>807046</v>
      </c>
      <c r="J4" s="11">
        <v>949563</v>
      </c>
      <c r="K4" s="11">
        <v>918208</v>
      </c>
      <c r="L4" s="11">
        <v>880348</v>
      </c>
      <c r="M4" s="11">
        <v>895773</v>
      </c>
      <c r="N4" s="11">
        <v>988193.96000000008</v>
      </c>
      <c r="O4" s="11">
        <v>983050</v>
      </c>
      <c r="P4" s="11">
        <v>983870</v>
      </c>
      <c r="Q4" s="11">
        <v>907867</v>
      </c>
      <c r="R4" s="11">
        <v>871523</v>
      </c>
      <c r="S4" s="10">
        <v>978034.52218729688</v>
      </c>
      <c r="T4" s="19"/>
      <c r="U4" s="19"/>
      <c r="V4" s="19"/>
    </row>
    <row r="5" spans="1:53" x14ac:dyDescent="0.2">
      <c r="C5" t="s">
        <v>14</v>
      </c>
      <c r="E5" s="11">
        <v>1628550</v>
      </c>
      <c r="F5" s="11">
        <v>1792705</v>
      </c>
      <c r="G5" s="11">
        <v>2033858</v>
      </c>
      <c r="H5" s="11">
        <v>2442382</v>
      </c>
      <c r="I5" s="11">
        <v>2352501</v>
      </c>
      <c r="J5" s="11">
        <v>2454048</v>
      </c>
      <c r="K5" s="11">
        <v>2231633</v>
      </c>
      <c r="L5" s="11">
        <v>1965115</v>
      </c>
      <c r="M5" s="11">
        <v>2269749</v>
      </c>
      <c r="N5" s="11">
        <v>2236985.92</v>
      </c>
      <c r="O5" s="11">
        <v>2322692</v>
      </c>
      <c r="P5" s="11">
        <v>2222764</v>
      </c>
      <c r="Q5" s="11">
        <v>2125241</v>
      </c>
      <c r="R5" s="11">
        <v>2179737</v>
      </c>
      <c r="S5" s="11">
        <v>2360803</v>
      </c>
      <c r="T5" s="82">
        <v>2295205</v>
      </c>
      <c r="U5" s="82">
        <v>2392903</v>
      </c>
      <c r="V5" s="82">
        <v>2296035</v>
      </c>
    </row>
    <row r="6" spans="1:53" x14ac:dyDescent="0.2">
      <c r="C6" t="s">
        <v>13</v>
      </c>
      <c r="E6" s="11">
        <v>539772</v>
      </c>
      <c r="F6" s="11">
        <v>642843</v>
      </c>
      <c r="G6" s="11">
        <v>721781</v>
      </c>
      <c r="H6" s="11">
        <v>855093</v>
      </c>
      <c r="I6" s="11">
        <v>836038</v>
      </c>
      <c r="J6" s="11">
        <v>577330</v>
      </c>
      <c r="K6" s="11">
        <v>492574</v>
      </c>
      <c r="L6" s="11">
        <v>395068</v>
      </c>
      <c r="M6" s="11">
        <v>542535</v>
      </c>
      <c r="N6" s="11">
        <v>497644.03999999986</v>
      </c>
      <c r="O6" s="11">
        <v>481305.00000000006</v>
      </c>
      <c r="P6" s="11">
        <v>412542</v>
      </c>
      <c r="Q6" s="11">
        <v>431596.25</v>
      </c>
      <c r="R6" s="11">
        <v>581074</v>
      </c>
      <c r="S6" s="10">
        <v>482951</v>
      </c>
      <c r="T6" s="19"/>
      <c r="U6" s="19"/>
      <c r="V6" s="19"/>
    </row>
    <row r="7" spans="1:53" x14ac:dyDescent="0.2">
      <c r="C7" t="s">
        <v>15</v>
      </c>
      <c r="E7" s="12">
        <f>SUM(E5:E6)</f>
        <v>2168322</v>
      </c>
      <c r="F7" s="12">
        <f t="shared" ref="F7:S7" si="1">SUM(F5:F6)</f>
        <v>2435548</v>
      </c>
      <c r="G7" s="12">
        <f t="shared" si="1"/>
        <v>2755639</v>
      </c>
      <c r="H7" s="12">
        <f t="shared" si="1"/>
        <v>3297475</v>
      </c>
      <c r="I7" s="12">
        <f t="shared" si="1"/>
        <v>3188539</v>
      </c>
      <c r="J7" s="12">
        <f t="shared" si="1"/>
        <v>3031378</v>
      </c>
      <c r="K7" s="12">
        <f t="shared" si="1"/>
        <v>2724207</v>
      </c>
      <c r="L7" s="12">
        <f t="shared" si="1"/>
        <v>2360183</v>
      </c>
      <c r="M7" s="12">
        <f t="shared" si="1"/>
        <v>2812284</v>
      </c>
      <c r="N7" s="12">
        <f t="shared" si="1"/>
        <v>2734629.96</v>
      </c>
      <c r="O7" s="12">
        <f t="shared" si="1"/>
        <v>2803997</v>
      </c>
      <c r="P7" s="12">
        <f t="shared" si="1"/>
        <v>2635306</v>
      </c>
      <c r="Q7" s="12">
        <f t="shared" si="1"/>
        <v>2556837.25</v>
      </c>
      <c r="R7" s="12">
        <f t="shared" si="1"/>
        <v>2760811</v>
      </c>
      <c r="S7" s="12">
        <f t="shared" si="1"/>
        <v>2843754</v>
      </c>
      <c r="T7" s="19"/>
      <c r="U7" s="19"/>
      <c r="V7" s="19"/>
    </row>
    <row r="8" spans="1:53" x14ac:dyDescent="0.2">
      <c r="T8" s="19"/>
      <c r="U8" s="19"/>
      <c r="V8" s="19"/>
    </row>
    <row r="9" spans="1:53" x14ac:dyDescent="0.2">
      <c r="C9" t="s">
        <v>16</v>
      </c>
      <c r="E9" s="13">
        <f>E3/E$7</f>
        <v>0.45705250419448773</v>
      </c>
      <c r="F9" s="13">
        <f t="shared" ref="F9:S9" si="2">F3/F$7</f>
        <v>0.45095313251884178</v>
      </c>
      <c r="G9" s="13">
        <f t="shared" si="2"/>
        <v>0.47221207131993703</v>
      </c>
      <c r="H9" s="13">
        <f t="shared" si="2"/>
        <v>0.48268265870097576</v>
      </c>
      <c r="I9" s="13">
        <f t="shared" si="2"/>
        <v>0.48469063731069306</v>
      </c>
      <c r="J9" s="13">
        <f t="shared" si="2"/>
        <v>0.49630399112218931</v>
      </c>
      <c r="K9" s="13">
        <f t="shared" si="2"/>
        <v>0.48213113027020338</v>
      </c>
      <c r="L9" s="13">
        <f t="shared" si="2"/>
        <v>0.45961139454016914</v>
      </c>
      <c r="M9" s="13">
        <f t="shared" si="2"/>
        <v>0.48856232158629781</v>
      </c>
      <c r="N9" s="13">
        <f t="shared" si="2"/>
        <v>0.45665847967232831</v>
      </c>
      <c r="O9" s="13">
        <f t="shared" si="2"/>
        <v>0.4777615667919759</v>
      </c>
      <c r="P9" s="13">
        <f t="shared" si="2"/>
        <v>0.47011390707568684</v>
      </c>
      <c r="Q9" s="13">
        <f t="shared" si="2"/>
        <v>0.47612494694372903</v>
      </c>
      <c r="R9" s="13">
        <f t="shared" si="2"/>
        <v>0.47385134295683407</v>
      </c>
      <c r="S9" s="13">
        <f t="shared" si="2"/>
        <v>0.4862475719815087</v>
      </c>
      <c r="T9" s="89"/>
      <c r="U9" s="89"/>
      <c r="V9" s="89"/>
    </row>
    <row r="10" spans="1:53" x14ac:dyDescent="0.2">
      <c r="C10" t="s">
        <v>17</v>
      </c>
      <c r="E10" s="13">
        <f>E4/E$7</f>
        <v>0.2940121439527893</v>
      </c>
      <c r="F10" s="13">
        <f t="shared" ref="F10:S10" si="3">F4/F$7</f>
        <v>0.28510503590978292</v>
      </c>
      <c r="G10" s="13">
        <f t="shared" si="3"/>
        <v>0.26585920724739343</v>
      </c>
      <c r="H10" s="13">
        <f t="shared" si="3"/>
        <v>0.2579998332057104</v>
      </c>
      <c r="I10" s="13">
        <f t="shared" si="3"/>
        <v>0.253108398548677</v>
      </c>
      <c r="J10" s="13">
        <f t="shared" si="3"/>
        <v>0.31324466958591107</v>
      </c>
      <c r="K10" s="13">
        <f t="shared" si="3"/>
        <v>0.33705515036118766</v>
      </c>
      <c r="L10" s="13">
        <f t="shared" si="3"/>
        <v>0.3729998902627466</v>
      </c>
      <c r="M10" s="13">
        <f t="shared" si="3"/>
        <v>0.31852152912010306</v>
      </c>
      <c r="N10" s="13">
        <f t="shared" si="3"/>
        <v>0.3613629538381859</v>
      </c>
      <c r="O10" s="13">
        <f t="shared" si="3"/>
        <v>0.35058882017348808</v>
      </c>
      <c r="P10" s="13">
        <f t="shared" si="3"/>
        <v>0.37334184341400961</v>
      </c>
      <c r="Q10" s="13">
        <f t="shared" si="3"/>
        <v>0.35507422304646102</v>
      </c>
      <c r="R10" s="13">
        <f t="shared" si="3"/>
        <v>0.31567644434914233</v>
      </c>
      <c r="S10" s="13">
        <f t="shared" si="3"/>
        <v>0.34392374382147572</v>
      </c>
      <c r="T10" s="89"/>
      <c r="U10" s="89"/>
      <c r="V10" s="89"/>
    </row>
    <row r="11" spans="1:53" x14ac:dyDescent="0.2">
      <c r="C11" t="s">
        <v>18</v>
      </c>
      <c r="E11" s="13">
        <f>E6/E7</f>
        <v>0.24893535185272297</v>
      </c>
      <c r="F11" s="13">
        <f t="shared" ref="F11:S11" si="4">F6/F7</f>
        <v>0.2639418315713753</v>
      </c>
      <c r="G11" s="13">
        <f t="shared" si="4"/>
        <v>0.26192872143266954</v>
      </c>
      <c r="H11" s="13">
        <f t="shared" si="4"/>
        <v>0.25931750809331383</v>
      </c>
      <c r="I11" s="13">
        <f t="shared" si="4"/>
        <v>0.26220096414062993</v>
      </c>
      <c r="J11" s="13">
        <f t="shared" si="4"/>
        <v>0.19045133929189959</v>
      </c>
      <c r="K11" s="13">
        <f t="shared" si="4"/>
        <v>0.18081371936860893</v>
      </c>
      <c r="L11" s="13">
        <f t="shared" si="4"/>
        <v>0.16738871519708429</v>
      </c>
      <c r="M11" s="13">
        <f t="shared" si="4"/>
        <v>0.19291614929359907</v>
      </c>
      <c r="N11" s="13">
        <f t="shared" si="4"/>
        <v>0.18197856648948579</v>
      </c>
      <c r="O11" s="13">
        <f t="shared" si="4"/>
        <v>0.17164961303453607</v>
      </c>
      <c r="P11" s="13">
        <f t="shared" si="4"/>
        <v>0.15654424951030355</v>
      </c>
      <c r="Q11" s="13">
        <f t="shared" si="4"/>
        <v>0.16880083000980997</v>
      </c>
      <c r="R11" s="13">
        <f t="shared" si="4"/>
        <v>0.21047221269402361</v>
      </c>
      <c r="S11" s="13">
        <f t="shared" si="4"/>
        <v>0.16982868419701563</v>
      </c>
      <c r="T11" s="89"/>
      <c r="U11" s="89"/>
      <c r="V11" s="89"/>
    </row>
    <row r="12" spans="1:53" x14ac:dyDescent="0.2">
      <c r="C12" s="16" t="s">
        <v>19</v>
      </c>
      <c r="D12" s="16"/>
      <c r="E12" s="15">
        <f>SUM(E9:E11)</f>
        <v>1</v>
      </c>
      <c r="F12" s="15">
        <f t="shared" ref="F12:S12" si="5">SUM(F9:F11)</f>
        <v>1</v>
      </c>
      <c r="G12" s="15">
        <f t="shared" si="5"/>
        <v>1</v>
      </c>
      <c r="H12" s="15">
        <f t="shared" si="5"/>
        <v>1</v>
      </c>
      <c r="I12" s="15">
        <f t="shared" si="5"/>
        <v>1</v>
      </c>
      <c r="J12" s="15">
        <f t="shared" si="5"/>
        <v>1</v>
      </c>
      <c r="K12" s="15">
        <f t="shared" si="5"/>
        <v>0.99999999999999989</v>
      </c>
      <c r="L12" s="15">
        <f t="shared" si="5"/>
        <v>1</v>
      </c>
      <c r="M12" s="15">
        <f t="shared" si="5"/>
        <v>1</v>
      </c>
      <c r="N12" s="15">
        <f t="shared" si="5"/>
        <v>1</v>
      </c>
      <c r="O12" s="15">
        <f t="shared" si="5"/>
        <v>1</v>
      </c>
      <c r="P12" s="15">
        <f t="shared" si="5"/>
        <v>1</v>
      </c>
      <c r="Q12" s="15">
        <f t="shared" si="5"/>
        <v>1</v>
      </c>
      <c r="R12" s="15">
        <f t="shared" si="5"/>
        <v>1</v>
      </c>
      <c r="S12" s="15">
        <f t="shared" si="5"/>
        <v>1</v>
      </c>
      <c r="T12" s="90"/>
      <c r="U12" s="90"/>
      <c r="V12" s="90"/>
    </row>
    <row r="15" spans="1:53" x14ac:dyDescent="0.2">
      <c r="B15" t="s">
        <v>20</v>
      </c>
    </row>
    <row r="16" spans="1:53" x14ac:dyDescent="0.2">
      <c r="C16" t="s">
        <v>20</v>
      </c>
    </row>
    <row r="17" spans="3:43" x14ac:dyDescent="0.2">
      <c r="C17" t="s">
        <v>21</v>
      </c>
      <c r="D17" t="s">
        <v>23</v>
      </c>
      <c r="Q17" s="11">
        <v>688.6</v>
      </c>
      <c r="R17" s="11">
        <v>723.3</v>
      </c>
      <c r="S17" s="11">
        <v>752.2</v>
      </c>
      <c r="T17" s="11">
        <v>780.4</v>
      </c>
      <c r="U17" s="11">
        <v>811.4</v>
      </c>
      <c r="V17" s="11">
        <v>829.7</v>
      </c>
      <c r="W17" s="82">
        <v>860.4</v>
      </c>
      <c r="X17" s="11">
        <v>890.5</v>
      </c>
      <c r="Y17" s="11">
        <v>921.1</v>
      </c>
      <c r="Z17" s="11">
        <v>951.1</v>
      </c>
      <c r="AA17" s="11">
        <v>981.8</v>
      </c>
      <c r="AB17" s="11">
        <v>1013.1</v>
      </c>
      <c r="AC17" s="11">
        <v>1045</v>
      </c>
    </row>
    <row r="18" spans="3:43" x14ac:dyDescent="0.2">
      <c r="C18" t="s">
        <v>22</v>
      </c>
      <c r="D18" t="s">
        <v>23</v>
      </c>
      <c r="Q18" s="11">
        <v>528.79999999999995</v>
      </c>
      <c r="R18" s="11">
        <v>554.29999999999995</v>
      </c>
      <c r="S18" s="11">
        <v>574.4</v>
      </c>
      <c r="T18" s="11">
        <v>560.29999999999995</v>
      </c>
      <c r="U18" s="11">
        <v>544.29999999999995</v>
      </c>
      <c r="V18" s="11">
        <v>559.9</v>
      </c>
      <c r="W18" s="82">
        <v>575.5</v>
      </c>
      <c r="X18" s="11">
        <v>594.6</v>
      </c>
      <c r="Y18" s="11">
        <v>614</v>
      </c>
      <c r="Z18" s="11">
        <v>633</v>
      </c>
      <c r="AA18" s="11">
        <v>652.4</v>
      </c>
      <c r="AB18" s="11">
        <v>672.1</v>
      </c>
      <c r="AC18" s="11">
        <v>692.3</v>
      </c>
    </row>
    <row r="19" spans="3:43" x14ac:dyDescent="0.2">
      <c r="C19" t="s">
        <v>12</v>
      </c>
      <c r="D19" t="s">
        <v>23</v>
      </c>
      <c r="Q19" s="11">
        <v>907.9</v>
      </c>
      <c r="R19" s="11">
        <v>949.1</v>
      </c>
      <c r="S19" s="11">
        <v>983.2</v>
      </c>
      <c r="T19" s="11">
        <v>984.4</v>
      </c>
      <c r="U19" s="11">
        <v>986.3</v>
      </c>
      <c r="V19" s="11">
        <v>1006.3</v>
      </c>
      <c r="W19" s="82">
        <v>1039.8</v>
      </c>
      <c r="X19" s="11">
        <v>1072.5</v>
      </c>
      <c r="Y19" s="11">
        <v>1105.8</v>
      </c>
      <c r="Z19" s="11">
        <v>1138.2</v>
      </c>
      <c r="AA19" s="11">
        <v>1171.3</v>
      </c>
      <c r="AB19" s="11">
        <v>1204.8</v>
      </c>
      <c r="AC19" s="11">
        <v>1239</v>
      </c>
    </row>
    <row r="20" spans="3:43" x14ac:dyDescent="0.2">
      <c r="C20" t="s">
        <v>13</v>
      </c>
      <c r="D20" t="s">
        <v>23</v>
      </c>
      <c r="Q20" s="11">
        <v>431.6</v>
      </c>
      <c r="R20" s="11">
        <v>456.9</v>
      </c>
      <c r="S20" s="11">
        <v>478</v>
      </c>
      <c r="T20" s="11">
        <v>498.7</v>
      </c>
      <c r="U20" s="11">
        <v>521.20000000000005</v>
      </c>
      <c r="V20" s="11">
        <v>534.5</v>
      </c>
      <c r="W20" s="82">
        <v>557.1</v>
      </c>
      <c r="X20" s="11">
        <v>579.29999999999995</v>
      </c>
      <c r="Y20" s="11">
        <v>602</v>
      </c>
      <c r="Z20" s="11">
        <v>624.4</v>
      </c>
      <c r="AA20" s="11">
        <v>647.20000000000005</v>
      </c>
      <c r="AB20" s="11">
        <v>670.6</v>
      </c>
      <c r="AC20" s="11">
        <v>694.6</v>
      </c>
    </row>
    <row r="21" spans="3:43" s="16" customFormat="1" x14ac:dyDescent="0.2">
      <c r="C21" s="16" t="s">
        <v>19</v>
      </c>
      <c r="D21" s="16" t="s">
        <v>23</v>
      </c>
      <c r="E21" s="22">
        <v>2168.3220000000001</v>
      </c>
      <c r="F21" s="22">
        <v>2435.5479999999998</v>
      </c>
      <c r="G21" s="22">
        <v>2755.6390000000001</v>
      </c>
      <c r="H21" s="22">
        <v>3297.4749999999999</v>
      </c>
      <c r="I21" s="22">
        <v>3188.5390000000002</v>
      </c>
      <c r="J21" s="22">
        <v>3031.3780000000002</v>
      </c>
      <c r="K21" s="22">
        <v>2724.2069999999999</v>
      </c>
      <c r="L21" s="22">
        <v>2360.183</v>
      </c>
      <c r="M21" s="22">
        <v>2812.2840000000001</v>
      </c>
      <c r="N21" s="22">
        <v>2734.6299599999998</v>
      </c>
      <c r="O21" s="22">
        <v>2803.9969999999998</v>
      </c>
      <c r="P21" s="22">
        <v>2635.306</v>
      </c>
      <c r="Q21" s="17">
        <f>SUM(Q17:Q20)</f>
        <v>2556.9</v>
      </c>
      <c r="R21" s="17">
        <f t="shared" ref="R21:AC21" si="6">SUM(R17:R20)</f>
        <v>2683.6</v>
      </c>
      <c r="S21" s="17">
        <f t="shared" si="6"/>
        <v>2787.8</v>
      </c>
      <c r="T21" s="17">
        <f t="shared" si="6"/>
        <v>2823.7999999999997</v>
      </c>
      <c r="U21" s="17">
        <f t="shared" si="6"/>
        <v>2863.2</v>
      </c>
      <c r="V21" s="17">
        <f t="shared" si="6"/>
        <v>2930.3999999999996</v>
      </c>
      <c r="W21" s="17">
        <f t="shared" si="6"/>
        <v>3032.7999999999997</v>
      </c>
      <c r="X21" s="17">
        <f t="shared" si="6"/>
        <v>3136.8999999999996</v>
      </c>
      <c r="Y21" s="17">
        <f t="shared" si="6"/>
        <v>3242.8999999999996</v>
      </c>
      <c r="Z21" s="17">
        <f t="shared" si="6"/>
        <v>3346.7000000000003</v>
      </c>
      <c r="AA21" s="17">
        <f t="shared" si="6"/>
        <v>3452.7</v>
      </c>
      <c r="AB21" s="17">
        <f t="shared" si="6"/>
        <v>3560.6</v>
      </c>
      <c r="AC21" s="17">
        <f t="shared" si="6"/>
        <v>3670.9</v>
      </c>
      <c r="AD21" s="22">
        <v>3670.9</v>
      </c>
      <c r="AE21" s="22">
        <v>3670.9</v>
      </c>
      <c r="AF21" s="22">
        <v>3670.9</v>
      </c>
      <c r="AG21" s="22">
        <v>3670.9</v>
      </c>
      <c r="AH21" s="22">
        <v>3670.9</v>
      </c>
      <c r="AI21" s="22">
        <v>3670.9</v>
      </c>
      <c r="AJ21" s="22">
        <v>3670.9</v>
      </c>
      <c r="AK21" s="22">
        <v>3670.9</v>
      </c>
      <c r="AL21" s="22">
        <v>3670.9</v>
      </c>
      <c r="AM21" s="22">
        <v>3670.9</v>
      </c>
      <c r="AN21" s="22">
        <v>3670.9</v>
      </c>
      <c r="AO21" s="22">
        <v>3670.9</v>
      </c>
      <c r="AP21" s="22">
        <v>3670.9</v>
      </c>
      <c r="AQ21" s="22">
        <v>3670.9</v>
      </c>
    </row>
    <row r="22" spans="3:43" x14ac:dyDescent="0.2">
      <c r="C22" s="16" t="s">
        <v>24</v>
      </c>
    </row>
    <row r="23" spans="3:43" x14ac:dyDescent="0.2">
      <c r="C23" t="s">
        <v>25</v>
      </c>
      <c r="D23" t="s">
        <v>28</v>
      </c>
      <c r="Q23" s="13">
        <f>SUM(Q17:Q18)/Q21</f>
        <v>0.47612343071688373</v>
      </c>
      <c r="R23" s="13">
        <f t="shared" ref="R23:AC23" si="7">SUM(R17:R18)/R21</f>
        <v>0.47607691161126842</v>
      </c>
      <c r="S23" s="13">
        <f t="shared" si="7"/>
        <v>0.47585910036587986</v>
      </c>
      <c r="T23" s="13">
        <f t="shared" si="7"/>
        <v>0.47478574969898718</v>
      </c>
      <c r="U23" s="13">
        <f t="shared" si="7"/>
        <v>0.4734911986588432</v>
      </c>
      <c r="V23" s="13">
        <f t="shared" si="7"/>
        <v>0.47420147420147424</v>
      </c>
      <c r="W23" s="13">
        <f t="shared" si="7"/>
        <v>0.47345687153785287</v>
      </c>
      <c r="X23" s="13">
        <f t="shared" si="7"/>
        <v>0.47342918167617715</v>
      </c>
      <c r="Y23" s="13">
        <f t="shared" si="7"/>
        <v>0.47337259860001851</v>
      </c>
      <c r="Z23" s="13">
        <f t="shared" si="7"/>
        <v>0.47333193892491104</v>
      </c>
      <c r="AA23" s="13">
        <f t="shared" si="7"/>
        <v>0.4733107423176065</v>
      </c>
      <c r="AB23" s="13">
        <f t="shared" si="7"/>
        <v>0.47329101836769089</v>
      </c>
      <c r="AC23" s="13">
        <f t="shared" si="7"/>
        <v>0.4732626876242883</v>
      </c>
    </row>
    <row r="24" spans="3:43" x14ac:dyDescent="0.2">
      <c r="C24" t="s">
        <v>26</v>
      </c>
      <c r="D24" t="s">
        <v>28</v>
      </c>
      <c r="Q24" s="13">
        <f>Q19/Q21</f>
        <v>0.35507841526848916</v>
      </c>
      <c r="R24" s="13">
        <f t="shared" ref="R24:AC24" si="8">R19/R21</f>
        <v>0.35366671635117009</v>
      </c>
      <c r="S24" s="13">
        <f t="shared" si="8"/>
        <v>0.35267953224765047</v>
      </c>
      <c r="T24" s="13">
        <f t="shared" si="8"/>
        <v>0.34860825837523907</v>
      </c>
      <c r="U24" s="13">
        <f t="shared" si="8"/>
        <v>0.34447471360715282</v>
      </c>
      <c r="V24" s="13">
        <f t="shared" si="8"/>
        <v>0.34340021840021845</v>
      </c>
      <c r="W24" s="13">
        <f t="shared" si="8"/>
        <v>0.34285149037193352</v>
      </c>
      <c r="X24" s="13">
        <f t="shared" si="8"/>
        <v>0.34189805221715708</v>
      </c>
      <c r="Y24" s="13">
        <f t="shared" si="8"/>
        <v>0.34099108822350366</v>
      </c>
      <c r="Z24" s="13">
        <f t="shared" si="8"/>
        <v>0.34009621418113362</v>
      </c>
      <c r="AA24" s="13">
        <f t="shared" si="8"/>
        <v>0.33924175283111768</v>
      </c>
      <c r="AB24" s="13">
        <f t="shared" si="8"/>
        <v>0.33836993765095769</v>
      </c>
      <c r="AC24" s="13">
        <f t="shared" si="8"/>
        <v>0.33751940940913672</v>
      </c>
    </row>
    <row r="25" spans="3:43" x14ac:dyDescent="0.2">
      <c r="C25" t="s">
        <v>27</v>
      </c>
      <c r="D25" t="s">
        <v>28</v>
      </c>
      <c r="Q25" s="13">
        <f>Q20/Q21</f>
        <v>0.16879815401462708</v>
      </c>
      <c r="R25" s="13">
        <f t="shared" ref="R25:AC25" si="9">R20/R21</f>
        <v>0.17025637203756147</v>
      </c>
      <c r="S25" s="13">
        <f t="shared" si="9"/>
        <v>0.17146136738646961</v>
      </c>
      <c r="T25" s="13">
        <f t="shared" si="9"/>
        <v>0.17660599192577378</v>
      </c>
      <c r="U25" s="13">
        <f t="shared" si="9"/>
        <v>0.18203408773400395</v>
      </c>
      <c r="V25" s="13">
        <f t="shared" si="9"/>
        <v>0.18239830739830742</v>
      </c>
      <c r="W25" s="13">
        <f t="shared" si="9"/>
        <v>0.18369163809021369</v>
      </c>
      <c r="X25" s="13">
        <f t="shared" si="9"/>
        <v>0.18467276610666583</v>
      </c>
      <c r="Y25" s="13">
        <f t="shared" si="9"/>
        <v>0.18563631317647786</v>
      </c>
      <c r="Z25" s="13">
        <f t="shared" si="9"/>
        <v>0.18657184689395523</v>
      </c>
      <c r="AA25" s="13">
        <f t="shared" si="9"/>
        <v>0.18744750485127584</v>
      </c>
      <c r="AB25" s="13">
        <f t="shared" si="9"/>
        <v>0.18833904398135146</v>
      </c>
      <c r="AC25" s="13">
        <f t="shared" si="9"/>
        <v>0.18921790296657495</v>
      </c>
    </row>
    <row r="26" spans="3:43" x14ac:dyDescent="0.2">
      <c r="C26" s="16" t="s">
        <v>19</v>
      </c>
      <c r="D26" t="s">
        <v>28</v>
      </c>
      <c r="Q26" s="13">
        <f>SUM(Q23:Q25)</f>
        <v>1</v>
      </c>
      <c r="R26" s="13">
        <f t="shared" ref="R26:AC26" si="10">SUM(R23:R25)</f>
        <v>1</v>
      </c>
      <c r="S26" s="13">
        <f t="shared" si="10"/>
        <v>1</v>
      </c>
      <c r="T26" s="13">
        <f t="shared" si="10"/>
        <v>1</v>
      </c>
      <c r="U26" s="13">
        <f t="shared" si="10"/>
        <v>1</v>
      </c>
      <c r="V26" s="13">
        <f t="shared" si="10"/>
        <v>1</v>
      </c>
      <c r="W26" s="13">
        <f t="shared" si="10"/>
        <v>1</v>
      </c>
      <c r="X26" s="13">
        <f t="shared" si="10"/>
        <v>1</v>
      </c>
      <c r="Y26" s="13">
        <f t="shared" si="10"/>
        <v>1</v>
      </c>
      <c r="Z26" s="13">
        <f t="shared" si="10"/>
        <v>0.99999999999999989</v>
      </c>
      <c r="AA26" s="13">
        <f t="shared" si="10"/>
        <v>1</v>
      </c>
      <c r="AB26" s="13">
        <f t="shared" si="10"/>
        <v>1</v>
      </c>
      <c r="AC26" s="13">
        <f t="shared" si="10"/>
        <v>0.99999999999999989</v>
      </c>
    </row>
    <row r="53" spans="1:17" x14ac:dyDescent="0.2">
      <c r="A53" s="1" t="s">
        <v>30</v>
      </c>
    </row>
    <row r="54" spans="1:17" ht="16" x14ac:dyDescent="0.2">
      <c r="C54" s="20" t="s">
        <v>31</v>
      </c>
      <c r="D54" s="20" t="s">
        <v>32</v>
      </c>
      <c r="E54" s="20" t="s">
        <v>33</v>
      </c>
      <c r="F54" s="20" t="s">
        <v>34</v>
      </c>
      <c r="G54" s="20" t="s">
        <v>35</v>
      </c>
      <c r="H54" s="20" t="s">
        <v>36</v>
      </c>
      <c r="I54" s="20" t="s">
        <v>37</v>
      </c>
      <c r="J54" s="20" t="s">
        <v>38</v>
      </c>
      <c r="K54" s="20" t="s">
        <v>39</v>
      </c>
      <c r="L54" s="20" t="s">
        <v>40</v>
      </c>
      <c r="M54" s="20" t="s">
        <v>6</v>
      </c>
      <c r="Q54" s="6" t="s">
        <v>123</v>
      </c>
    </row>
    <row r="55" spans="1:17" ht="16" x14ac:dyDescent="0.2">
      <c r="C55" s="20" t="s">
        <v>41</v>
      </c>
      <c r="D55" s="19"/>
      <c r="E55" s="19"/>
      <c r="F55" s="19"/>
      <c r="G55" s="19"/>
      <c r="H55" s="19"/>
      <c r="I55" s="19"/>
      <c r="J55" s="19"/>
      <c r="K55" s="19"/>
      <c r="L55" s="19"/>
    </row>
    <row r="56" spans="1:17" ht="16" x14ac:dyDescent="0.2">
      <c r="C56" s="20" t="s">
        <v>42</v>
      </c>
      <c r="D56" s="20" t="s">
        <v>43</v>
      </c>
      <c r="E56" s="20" t="s">
        <v>44</v>
      </c>
      <c r="F56" s="20" t="s">
        <v>45</v>
      </c>
      <c r="G56" s="20" t="s">
        <v>46</v>
      </c>
      <c r="H56" s="20" t="s">
        <v>47</v>
      </c>
      <c r="I56" s="20" t="s">
        <v>48</v>
      </c>
      <c r="J56" s="20" t="s">
        <v>49</v>
      </c>
      <c r="K56" s="20" t="s">
        <v>50</v>
      </c>
      <c r="L56" s="44">
        <v>0.36799999999999999</v>
      </c>
      <c r="M56" s="20" t="s">
        <v>125</v>
      </c>
    </row>
    <row r="57" spans="1:17" ht="16" x14ac:dyDescent="0.2">
      <c r="C57" s="20" t="s">
        <v>51</v>
      </c>
      <c r="D57" s="20" t="s">
        <v>52</v>
      </c>
      <c r="E57" s="20" t="s">
        <v>53</v>
      </c>
      <c r="F57" s="20" t="s">
        <v>54</v>
      </c>
      <c r="G57" s="20" t="s">
        <v>55</v>
      </c>
      <c r="H57" s="20" t="s">
        <v>56</v>
      </c>
      <c r="I57" s="20" t="s">
        <v>57</v>
      </c>
      <c r="J57" s="20" t="s">
        <v>58</v>
      </c>
      <c r="K57" s="20" t="s">
        <v>59</v>
      </c>
      <c r="L57" s="44">
        <v>0.26400000000000001</v>
      </c>
      <c r="M57" s="20" t="s">
        <v>125</v>
      </c>
    </row>
    <row r="58" spans="1:17" ht="16" x14ac:dyDescent="0.2">
      <c r="C58" s="20" t="s">
        <v>60</v>
      </c>
      <c r="D58" s="20" t="s">
        <v>61</v>
      </c>
      <c r="E58" s="20" t="s">
        <v>62</v>
      </c>
      <c r="F58" s="20" t="s">
        <v>63</v>
      </c>
      <c r="G58" s="20" t="s">
        <v>64</v>
      </c>
      <c r="H58" s="20" t="s">
        <v>65</v>
      </c>
      <c r="I58" s="20" t="s">
        <v>66</v>
      </c>
      <c r="J58" s="20" t="s">
        <v>67</v>
      </c>
      <c r="K58" s="20" t="s">
        <v>68</v>
      </c>
      <c r="L58" s="44">
        <v>0.16700000000000001</v>
      </c>
      <c r="M58" s="20" t="s">
        <v>125</v>
      </c>
    </row>
    <row r="59" spans="1:17" ht="16" x14ac:dyDescent="0.2">
      <c r="C59" s="20" t="s">
        <v>69</v>
      </c>
      <c r="D59" s="20" t="s">
        <v>70</v>
      </c>
      <c r="E59" s="20" t="s">
        <v>71</v>
      </c>
      <c r="F59" s="20" t="s">
        <v>72</v>
      </c>
      <c r="G59" s="20" t="s">
        <v>73</v>
      </c>
      <c r="H59" s="20" t="s">
        <v>74</v>
      </c>
      <c r="I59" s="20" t="s">
        <v>75</v>
      </c>
      <c r="J59" s="20" t="s">
        <v>76</v>
      </c>
      <c r="K59" s="20" t="s">
        <v>77</v>
      </c>
      <c r="L59" s="44">
        <v>7.4999999999999997E-2</v>
      </c>
      <c r="M59" s="20" t="s">
        <v>125</v>
      </c>
    </row>
    <row r="60" spans="1:17" ht="16" x14ac:dyDescent="0.2">
      <c r="C60" s="20" t="s">
        <v>78</v>
      </c>
      <c r="D60" s="20" t="s">
        <v>79</v>
      </c>
      <c r="E60" s="20" t="s">
        <v>80</v>
      </c>
      <c r="F60" s="20" t="s">
        <v>81</v>
      </c>
      <c r="G60" s="20" t="s">
        <v>82</v>
      </c>
      <c r="H60" s="20" t="s">
        <v>83</v>
      </c>
      <c r="I60" s="20" t="s">
        <v>84</v>
      </c>
      <c r="J60" s="20" t="s">
        <v>84</v>
      </c>
      <c r="K60" s="20" t="s">
        <v>82</v>
      </c>
      <c r="L60" s="44">
        <v>2.3E-2</v>
      </c>
      <c r="M60" s="20" t="s">
        <v>125</v>
      </c>
    </row>
    <row r="61" spans="1:17" ht="16" x14ac:dyDescent="0.2">
      <c r="C61" s="20" t="s">
        <v>85</v>
      </c>
      <c r="D61" s="20" t="s">
        <v>79</v>
      </c>
      <c r="E61" s="20" t="s">
        <v>86</v>
      </c>
      <c r="F61" s="20" t="s">
        <v>87</v>
      </c>
      <c r="G61" s="20" t="s">
        <v>88</v>
      </c>
      <c r="H61" s="20" t="s">
        <v>89</v>
      </c>
      <c r="I61" s="20" t="s">
        <v>88</v>
      </c>
      <c r="J61" s="20" t="s">
        <v>90</v>
      </c>
      <c r="K61" s="20" t="s">
        <v>86</v>
      </c>
      <c r="L61" s="44">
        <v>3.7999999999999999E-2</v>
      </c>
      <c r="M61" s="20" t="s">
        <v>125</v>
      </c>
    </row>
    <row r="62" spans="1:17" ht="16" x14ac:dyDescent="0.2">
      <c r="C62" s="20" t="s">
        <v>91</v>
      </c>
      <c r="D62" s="20" t="s">
        <v>92</v>
      </c>
      <c r="E62" s="20" t="s">
        <v>93</v>
      </c>
      <c r="F62" s="20" t="s">
        <v>94</v>
      </c>
      <c r="G62" s="20" t="s">
        <v>84</v>
      </c>
      <c r="H62" s="20" t="s">
        <v>84</v>
      </c>
      <c r="I62" s="20" t="s">
        <v>95</v>
      </c>
      <c r="J62" s="20" t="s">
        <v>96</v>
      </c>
      <c r="K62" s="20" t="s">
        <v>92</v>
      </c>
      <c r="L62" s="44">
        <v>2.7E-2</v>
      </c>
      <c r="M62" s="20" t="s">
        <v>125</v>
      </c>
      <c r="N62">
        <f>SUM(L56:L62)</f>
        <v>0.96200000000000008</v>
      </c>
    </row>
    <row r="63" spans="1:17" ht="16" x14ac:dyDescent="0.2">
      <c r="C63" s="20" t="s">
        <v>97</v>
      </c>
      <c r="D63" s="19"/>
      <c r="E63" s="19"/>
      <c r="F63" s="19"/>
      <c r="G63" s="19"/>
      <c r="H63" s="19"/>
      <c r="I63" s="19"/>
      <c r="J63" s="19"/>
      <c r="K63" s="19"/>
      <c r="L63" s="19"/>
    </row>
    <row r="64" spans="1:17" ht="16" x14ac:dyDescent="0.2">
      <c r="C64" s="20" t="s">
        <v>98</v>
      </c>
      <c r="D64" s="20" t="s">
        <v>49</v>
      </c>
      <c r="E64" s="20" t="s">
        <v>99</v>
      </c>
      <c r="F64" s="20" t="s">
        <v>100</v>
      </c>
      <c r="G64" s="20" t="s">
        <v>101</v>
      </c>
      <c r="H64" s="20" t="s">
        <v>102</v>
      </c>
      <c r="I64" s="20" t="s">
        <v>103</v>
      </c>
      <c r="J64" s="20" t="s">
        <v>104</v>
      </c>
      <c r="K64" s="20" t="s">
        <v>105</v>
      </c>
      <c r="L64" s="44">
        <v>0.55700000000000005</v>
      </c>
      <c r="M64" s="20" t="s">
        <v>125</v>
      </c>
    </row>
    <row r="65" spans="1:17" ht="16" x14ac:dyDescent="0.2">
      <c r="C65" s="20" t="s">
        <v>106</v>
      </c>
      <c r="D65" s="20" t="s">
        <v>107</v>
      </c>
      <c r="E65" s="20" t="s">
        <v>108</v>
      </c>
      <c r="F65" s="20" t="s">
        <v>109</v>
      </c>
      <c r="G65" s="20" t="s">
        <v>110</v>
      </c>
      <c r="H65" s="20" t="s">
        <v>111</v>
      </c>
      <c r="I65" s="20" t="s">
        <v>111</v>
      </c>
      <c r="J65" s="20" t="s">
        <v>112</v>
      </c>
      <c r="K65" s="20" t="s">
        <v>113</v>
      </c>
      <c r="L65" s="44">
        <v>0.17199999999999999</v>
      </c>
      <c r="M65" s="20" t="s">
        <v>125</v>
      </c>
    </row>
    <row r="66" spans="1:17" ht="16" x14ac:dyDescent="0.2">
      <c r="C66" s="20" t="s">
        <v>114</v>
      </c>
      <c r="D66" s="20" t="s">
        <v>115</v>
      </c>
      <c r="E66" s="20" t="s">
        <v>116</v>
      </c>
      <c r="F66" s="20" t="s">
        <v>117</v>
      </c>
      <c r="G66" s="20" t="s">
        <v>118</v>
      </c>
      <c r="H66" s="20" t="s">
        <v>119</v>
      </c>
      <c r="I66" s="20" t="s">
        <v>120</v>
      </c>
      <c r="J66" s="20" t="s">
        <v>121</v>
      </c>
      <c r="K66" s="20" t="s">
        <v>122</v>
      </c>
      <c r="L66" s="43">
        <v>1.6910000000000001</v>
      </c>
      <c r="M66" s="20" t="s">
        <v>125</v>
      </c>
    </row>
    <row r="68" spans="1:17" x14ac:dyDescent="0.2">
      <c r="C68" s="20" t="s">
        <v>130</v>
      </c>
    </row>
    <row r="72" spans="1:17" x14ac:dyDescent="0.2">
      <c r="A72" s="1" t="s">
        <v>124</v>
      </c>
    </row>
    <row r="74" spans="1:17" x14ac:dyDescent="0.2">
      <c r="C74" t="s">
        <v>126</v>
      </c>
    </row>
    <row r="76" spans="1:17" x14ac:dyDescent="0.2">
      <c r="F76">
        <v>0.01</v>
      </c>
    </row>
    <row r="77" spans="1:17" x14ac:dyDescent="0.2">
      <c r="D77">
        <v>2009</v>
      </c>
      <c r="E77">
        <v>2010</v>
      </c>
      <c r="F77">
        <v>2011</v>
      </c>
      <c r="G77">
        <v>2012</v>
      </c>
      <c r="H77">
        <v>2013</v>
      </c>
      <c r="I77">
        <v>2014</v>
      </c>
      <c r="J77">
        <v>2015</v>
      </c>
      <c r="K77">
        <v>2016</v>
      </c>
      <c r="L77">
        <v>2017</v>
      </c>
      <c r="M77">
        <v>2018</v>
      </c>
    </row>
    <row r="78" spans="1:17" x14ac:dyDescent="0.2">
      <c r="C78" t="s">
        <v>128</v>
      </c>
      <c r="D78">
        <v>3.0110000000000001E-2</v>
      </c>
      <c r="E78">
        <v>3.3160000000000002E-2</v>
      </c>
      <c r="F78">
        <v>3.7480000000000006E-2</v>
      </c>
      <c r="G78">
        <v>3.9469999999999998E-2</v>
      </c>
      <c r="H78">
        <v>4.0510000000000004E-2</v>
      </c>
      <c r="I78">
        <v>4.0540000000000007E-2</v>
      </c>
      <c r="J78">
        <v>3.9670000000000004E-2</v>
      </c>
      <c r="K78">
        <v>3.9890000000000002E-2</v>
      </c>
      <c r="L78" s="19">
        <v>4.0210000000000003E-2</v>
      </c>
      <c r="M78" s="33">
        <v>4.2299999999999997E-2</v>
      </c>
      <c r="N78" s="21" t="s">
        <v>129</v>
      </c>
      <c r="Q78" s="6" t="s">
        <v>131</v>
      </c>
    </row>
    <row r="79" spans="1:17" x14ac:dyDescent="0.2">
      <c r="C79" t="s">
        <v>127</v>
      </c>
      <c r="M79" s="42">
        <v>0.28486</v>
      </c>
      <c r="Q79" t="s">
        <v>302</v>
      </c>
    </row>
    <row r="80" spans="1:17" x14ac:dyDescent="0.2">
      <c r="C80" t="s">
        <v>132</v>
      </c>
      <c r="K80">
        <v>97.8</v>
      </c>
      <c r="L80">
        <v>1</v>
      </c>
      <c r="M80">
        <v>104.9</v>
      </c>
    </row>
    <row r="81" spans="2:20" x14ac:dyDescent="0.2">
      <c r="C81" t="s">
        <v>133</v>
      </c>
      <c r="M81" s="18">
        <f>M79/K80*M80</f>
        <v>0.30554002044989775</v>
      </c>
      <c r="N81" t="s">
        <v>134</v>
      </c>
    </row>
    <row r="82" spans="2:20" x14ac:dyDescent="0.2">
      <c r="K82" s="18"/>
      <c r="N82" t="s">
        <v>135</v>
      </c>
    </row>
    <row r="85" spans="2:20" x14ac:dyDescent="0.2">
      <c r="B85" t="s">
        <v>160</v>
      </c>
    </row>
    <row r="86" spans="2:20" x14ac:dyDescent="0.2">
      <c r="C86" t="s">
        <v>159</v>
      </c>
    </row>
    <row r="87" spans="2:20" x14ac:dyDescent="0.2">
      <c r="C87" s="30"/>
      <c r="D87" s="30">
        <v>2010</v>
      </c>
      <c r="E87" s="30">
        <v>2011</v>
      </c>
      <c r="F87" s="30">
        <v>2012</v>
      </c>
      <c r="G87" s="30">
        <v>2013</v>
      </c>
      <c r="H87" s="30">
        <v>2014</v>
      </c>
      <c r="I87" s="30">
        <v>2015</v>
      </c>
      <c r="J87" s="30">
        <v>2016</v>
      </c>
      <c r="K87" s="30">
        <v>2017</v>
      </c>
      <c r="L87" s="30"/>
    </row>
    <row r="88" spans="2:20" ht="32" x14ac:dyDescent="0.2">
      <c r="C88" s="30" t="s">
        <v>161</v>
      </c>
      <c r="D88" s="31">
        <v>1691004</v>
      </c>
      <c r="E88" s="31">
        <v>1729256</v>
      </c>
      <c r="F88" s="31">
        <v>1712567</v>
      </c>
      <c r="G88" s="31">
        <v>1740687</v>
      </c>
      <c r="H88" s="31">
        <v>1851229</v>
      </c>
      <c r="I88" s="31">
        <v>1738283</v>
      </c>
      <c r="J88" s="31">
        <v>1585440</v>
      </c>
      <c r="K88" s="31">
        <v>1674784</v>
      </c>
      <c r="L88" s="31"/>
    </row>
    <row r="89" spans="2:20" ht="16" x14ac:dyDescent="0.2">
      <c r="C89" s="30" t="s">
        <v>162</v>
      </c>
      <c r="D89" s="31">
        <v>35541</v>
      </c>
      <c r="E89" s="31">
        <v>36649</v>
      </c>
      <c r="F89" s="31">
        <v>36525</v>
      </c>
      <c r="G89" s="31">
        <v>35253</v>
      </c>
      <c r="H89" s="31">
        <v>37193</v>
      </c>
      <c r="I89" s="31">
        <v>35853</v>
      </c>
      <c r="J89" s="31">
        <v>32572</v>
      </c>
      <c r="K89" s="31">
        <v>34065</v>
      </c>
      <c r="L89" s="31"/>
    </row>
    <row r="90" spans="2:20" ht="16" x14ac:dyDescent="0.2">
      <c r="C90" s="30" t="s">
        <v>163</v>
      </c>
      <c r="D90" s="30">
        <v>63.4</v>
      </c>
      <c r="E90" s="30">
        <v>62.9</v>
      </c>
      <c r="F90" s="30">
        <v>62</v>
      </c>
      <c r="G90" s="30">
        <v>61</v>
      </c>
      <c r="H90" s="30">
        <v>60.9</v>
      </c>
      <c r="I90" s="30">
        <v>58.4</v>
      </c>
      <c r="J90" s="30">
        <v>56.2</v>
      </c>
      <c r="K90" s="30">
        <v>56.6</v>
      </c>
      <c r="L90" s="30"/>
    </row>
    <row r="91" spans="2:20" ht="32" x14ac:dyDescent="0.2">
      <c r="C91" s="30" t="s">
        <v>164</v>
      </c>
      <c r="D91" s="31">
        <v>3494</v>
      </c>
      <c r="E91" s="31">
        <v>3685</v>
      </c>
      <c r="F91" s="31">
        <v>3600</v>
      </c>
      <c r="G91" s="31">
        <v>3682</v>
      </c>
      <c r="H91" s="31">
        <v>3867</v>
      </c>
      <c r="I91" s="31">
        <v>3692</v>
      </c>
      <c r="J91" s="31">
        <v>3385</v>
      </c>
      <c r="K91" s="31">
        <v>3495</v>
      </c>
      <c r="L91" s="31"/>
    </row>
    <row r="92" spans="2:20" ht="48" x14ac:dyDescent="0.2">
      <c r="C92" s="30" t="s">
        <v>165</v>
      </c>
      <c r="D92" s="30">
        <v>287</v>
      </c>
      <c r="E92" s="30">
        <v>296</v>
      </c>
      <c r="F92" s="30">
        <v>292</v>
      </c>
      <c r="G92" s="30">
        <v>293</v>
      </c>
      <c r="H92" s="30">
        <v>290</v>
      </c>
      <c r="I92" s="30">
        <v>295</v>
      </c>
      <c r="J92" s="30">
        <v>296</v>
      </c>
      <c r="K92" s="30">
        <v>289</v>
      </c>
      <c r="L92" s="30"/>
    </row>
    <row r="93" spans="2:20" ht="32" x14ac:dyDescent="0.2">
      <c r="C93" s="30" t="s">
        <v>166</v>
      </c>
      <c r="D93" s="31">
        <v>13635</v>
      </c>
      <c r="E93" s="31">
        <v>13946</v>
      </c>
      <c r="F93" s="31">
        <v>13671</v>
      </c>
      <c r="G93" s="31">
        <v>14487</v>
      </c>
      <c r="H93" s="31">
        <v>14421</v>
      </c>
      <c r="I93" s="31">
        <v>14283</v>
      </c>
      <c r="J93" s="31">
        <v>14414</v>
      </c>
      <c r="K93" s="31">
        <v>14230</v>
      </c>
      <c r="L93" s="31"/>
    </row>
    <row r="94" spans="2:20" ht="32" x14ac:dyDescent="0.2">
      <c r="C94" s="30" t="s">
        <v>167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</row>
    <row r="95" spans="2:20" x14ac:dyDescent="0.2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</row>
    <row r="96" spans="2:20" ht="96" x14ac:dyDescent="0.2">
      <c r="C96" s="30" t="s">
        <v>168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</row>
    <row r="97" spans="3:20" x14ac:dyDescent="0.2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</row>
    <row r="98" spans="3:20" ht="16" x14ac:dyDescent="0.2">
      <c r="C98" s="30" t="s">
        <v>169</v>
      </c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</sheetData>
  <hyperlinks>
    <hyperlink ref="Q54" r:id="rId1" xr:uid="{CA860019-D7D1-4590-9F51-74B4BF89C659}"/>
    <hyperlink ref="Q78" r:id="rId2" xr:uid="{63EBEAFF-6620-4158-A712-7217689E9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COVER</vt:lpstr>
      <vt:lpstr>0_MODEL_BenefitSummary</vt:lpstr>
      <vt:lpstr>Results Charts</vt:lpstr>
      <vt:lpstr>1_MODEL_assumptions</vt:lpstr>
      <vt:lpstr>2_MODEL_Costs</vt:lpstr>
      <vt:lpstr>3_MODEL_main</vt:lpstr>
      <vt:lpstr>4_MODELsub_ElecReferRacks</vt:lpstr>
      <vt:lpstr>PARAMS</vt:lpstr>
      <vt:lpstr>BKGRD</vt:lpstr>
      <vt:lpstr>z_QAQC</vt:lpstr>
      <vt:lpstr>COVER!_Hlk19241157</vt:lpstr>
      <vt:lpstr>COVER!_Hlk19241223</vt:lpstr>
      <vt:lpstr>COVER!Print_Area</vt:lpstr>
      <vt:lpstr>railcostpermile</vt:lpstr>
      <vt:lpstr>railcostpertonmile</vt:lpstr>
      <vt:lpstr>railcostpertonmilenew</vt:lpstr>
      <vt:lpstr>truckcostpermile</vt:lpstr>
      <vt:lpstr>truckmpg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rseckard</dc:creator>
  <cp:lastModifiedBy>Janet COhen</cp:lastModifiedBy>
  <dcterms:created xsi:type="dcterms:W3CDTF">2015-06-05T18:17:20Z</dcterms:created>
  <dcterms:modified xsi:type="dcterms:W3CDTF">2020-05-16T18:44:26Z</dcterms:modified>
</cp:coreProperties>
</file>