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janet/Grant Farm Dropbox/MDrive/01_Clients/NWSA/Proposals/2020 DOT BUILD/00 FINAL FILES FOR UPLOAD/"/>
    </mc:Choice>
  </mc:AlternateContent>
  <xr:revisionPtr revIDLastSave="0" documentId="13_ncr:1_{0FCDBFC1-A62A-CB41-98BB-FEC139E9EBBC}" xr6:coauthVersionLast="45" xr6:coauthVersionMax="45" xr10:uidLastSave="{00000000-0000-0000-0000-000000000000}"/>
  <bookViews>
    <workbookView xWindow="0" yWindow="460" windowWidth="32000" windowHeight="17540" tabRatio="707" xr2:uid="{DA22CE26-E530-4BCC-8801-5872DC0471E7}"/>
  </bookViews>
  <sheets>
    <sheet name="COVER" sheetId="32" r:id="rId1"/>
    <sheet name="0_MODEL_BenefitSummary" sheetId="30" r:id="rId2"/>
    <sheet name="Results Charts" sheetId="27" r:id="rId3"/>
    <sheet name="1_MODEL_assumptions" sheetId="29" r:id="rId4"/>
    <sheet name="2_MODEL_Costs" sheetId="28" r:id="rId5"/>
    <sheet name="3_MODEL_main" sheetId="26" r:id="rId6"/>
    <sheet name="PARAMS" sheetId="19" r:id="rId7"/>
    <sheet name="BKGRD" sheetId="16" r:id="rId8"/>
    <sheet name="UNUSED4_MODELsub_ElecReferRacks" sheetId="8" state="hidden" r:id="rId9"/>
  </sheets>
  <externalReferences>
    <externalReference r:id="rId10"/>
  </externalReferences>
  <definedNames>
    <definedName name="_Hlk19241157" localSheetId="0">COVER!$E$3</definedName>
    <definedName name="_Hlk19241223" localSheetId="0">COVER!$A$2</definedName>
    <definedName name="baseline">#REF!</definedName>
    <definedName name="_xlnm.Print_Area" localSheetId="0">COVER!$A$1:$I$25</definedName>
    <definedName name="railcostpermile">BKGRD!$M$79</definedName>
    <definedName name="railcostpertonmile">BKGRD!$L$78</definedName>
    <definedName name="railcostpertonmilenew" localSheetId="0">[1]BKGRD!$M$78</definedName>
    <definedName name="railcostpertonmilenew">BKGRD!$M$78</definedName>
    <definedName name="T5TEU" localSheetId="0">[1]PARAMS!#REF!</definedName>
    <definedName name="T5TEU">PARAMS!#REF!</definedName>
    <definedName name="truckcostpermile" localSheetId="0">[1]BKGRD!$L$66</definedName>
    <definedName name="truckcostpermile">BKGRD!$L$66</definedName>
    <definedName name="truckmpg" localSheetId="0">[1]PARAMS!$C$23</definedName>
    <definedName name="truckmpg">PARAMS!$C$23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8" i="26" l="1"/>
  <c r="G122" i="26"/>
  <c r="T21" i="28" l="1"/>
  <c r="U21" i="28" s="1"/>
  <c r="V21" i="28" s="1"/>
  <c r="W21" i="28" s="1"/>
  <c r="X21" i="28" s="1"/>
  <c r="Y21" i="28" s="1"/>
  <c r="Z21" i="28" s="1"/>
  <c r="AA21" i="28" s="1"/>
  <c r="AB21" i="28" s="1"/>
  <c r="AC21" i="28" s="1"/>
  <c r="AD21" i="28" s="1"/>
  <c r="AE21" i="28" s="1"/>
  <c r="AF21" i="28" s="1"/>
  <c r="AG21" i="28" s="1"/>
  <c r="AH21" i="28" s="1"/>
  <c r="O21" i="28"/>
  <c r="N21" i="28"/>
  <c r="M21" i="28"/>
  <c r="L21" i="28"/>
  <c r="K21" i="28"/>
  <c r="J21" i="28"/>
  <c r="L10" i="28"/>
  <c r="K10" i="28"/>
  <c r="J10" i="28"/>
  <c r="I10" i="28"/>
  <c r="H9" i="29" l="1"/>
  <c r="I5" i="26" l="1"/>
  <c r="F8" i="19" l="1"/>
  <c r="D7" i="19"/>
  <c r="C18" i="8"/>
  <c r="F32" i="29"/>
  <c r="F33" i="29" s="1"/>
  <c r="F34" i="29" s="1"/>
  <c r="J2" i="30" l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J1" i="30"/>
  <c r="K1" i="30" s="1"/>
  <c r="L1" i="30" s="1"/>
  <c r="M1" i="30" s="1"/>
  <c r="N1" i="30" s="1"/>
  <c r="O1" i="30" s="1"/>
  <c r="P1" i="30" s="1"/>
  <c r="Q1" i="30" s="1"/>
  <c r="R1" i="30" s="1"/>
  <c r="S1" i="30" s="1"/>
  <c r="T1" i="30" s="1"/>
  <c r="U1" i="30" s="1"/>
  <c r="V1" i="30" s="1"/>
  <c r="W1" i="30" s="1"/>
  <c r="X1" i="30" s="1"/>
  <c r="Y1" i="30" s="1"/>
  <c r="Z1" i="30" s="1"/>
  <c r="AA1" i="30" s="1"/>
  <c r="AB1" i="30" s="1"/>
  <c r="AC1" i="30" s="1"/>
  <c r="AD1" i="30" s="1"/>
  <c r="AE1" i="30" s="1"/>
  <c r="AF1" i="30" s="1"/>
  <c r="AG1" i="30" s="1"/>
  <c r="AH1" i="30" s="1"/>
  <c r="I8" i="29"/>
  <c r="P11" i="29"/>
  <c r="F30" i="29"/>
  <c r="F29" i="29" s="1"/>
  <c r="F28" i="29" s="1"/>
  <c r="F27" i="29" s="1"/>
  <c r="F26" i="29" s="1"/>
  <c r="F25" i="29" s="1"/>
  <c r="F24" i="29" s="1"/>
  <c r="F23" i="29" s="1"/>
  <c r="F22" i="29" s="1"/>
  <c r="F21" i="29" s="1"/>
  <c r="F20" i="29" s="1"/>
  <c r="F19" i="29" s="1"/>
  <c r="F18" i="29" s="1"/>
  <c r="F17" i="29" s="1"/>
  <c r="F16" i="29" s="1"/>
  <c r="F15" i="29" s="1"/>
  <c r="H36" i="29"/>
  <c r="I36" i="29"/>
  <c r="J2" i="29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J1" i="29"/>
  <c r="K1" i="29" s="1"/>
  <c r="L1" i="29" s="1"/>
  <c r="M1" i="29" s="1"/>
  <c r="N1" i="29" s="1"/>
  <c r="O1" i="29" s="1"/>
  <c r="P1" i="29" s="1"/>
  <c r="Q1" i="29" s="1"/>
  <c r="R1" i="29" s="1"/>
  <c r="S1" i="29" s="1"/>
  <c r="T1" i="29" s="1"/>
  <c r="U1" i="29" s="1"/>
  <c r="V1" i="29" s="1"/>
  <c r="W1" i="29" s="1"/>
  <c r="X1" i="29" s="1"/>
  <c r="Y1" i="29" s="1"/>
  <c r="Z1" i="29" s="1"/>
  <c r="AA1" i="29" s="1"/>
  <c r="AB1" i="29" s="1"/>
  <c r="AC1" i="29" s="1"/>
  <c r="AD1" i="29" s="1"/>
  <c r="AE1" i="29" s="1"/>
  <c r="AF1" i="29" s="1"/>
  <c r="AG1" i="29" s="1"/>
  <c r="AH1" i="29" s="1"/>
  <c r="G3" i="28"/>
  <c r="J11" i="28"/>
  <c r="K11" i="28"/>
  <c r="G5" i="28"/>
  <c r="G6" i="28"/>
  <c r="G9" i="28"/>
  <c r="H11" i="28"/>
  <c r="L11" i="28"/>
  <c r="M14" i="28"/>
  <c r="N15" i="28"/>
  <c r="O15" i="28" s="1"/>
  <c r="P15" i="28" s="1"/>
  <c r="P26" i="28" s="1"/>
  <c r="N16" i="28"/>
  <c r="O16" i="28" s="1"/>
  <c r="P16" i="28" s="1"/>
  <c r="Q16" i="28" s="1"/>
  <c r="R16" i="28" s="1"/>
  <c r="S16" i="28" s="1"/>
  <c r="T16" i="28" s="1"/>
  <c r="U16" i="28" s="1"/>
  <c r="V16" i="28" s="1"/>
  <c r="W16" i="28" s="1"/>
  <c r="X16" i="28" s="1"/>
  <c r="Y16" i="28" s="1"/>
  <c r="Z16" i="28" s="1"/>
  <c r="AA16" i="28" s="1"/>
  <c r="AB16" i="28" s="1"/>
  <c r="AC16" i="28" s="1"/>
  <c r="AD16" i="28" s="1"/>
  <c r="AE16" i="28" s="1"/>
  <c r="AF16" i="28" s="1"/>
  <c r="AG16" i="28" s="1"/>
  <c r="AH16" i="28" s="1"/>
  <c r="N17" i="28"/>
  <c r="J26" i="28"/>
  <c r="K26" i="28" s="1"/>
  <c r="L26" i="28" s="1"/>
  <c r="N26" i="28"/>
  <c r="O26" i="28"/>
  <c r="J2" i="28"/>
  <c r="K2" i="28" s="1"/>
  <c r="L2" i="28" s="1"/>
  <c r="M2" i="28" s="1"/>
  <c r="N2" i="28" s="1"/>
  <c r="O2" i="28" s="1"/>
  <c r="P2" i="28" s="1"/>
  <c r="Q2" i="28" s="1"/>
  <c r="R2" i="28" s="1"/>
  <c r="S2" i="28" s="1"/>
  <c r="T2" i="28" s="1"/>
  <c r="U2" i="28" s="1"/>
  <c r="V2" i="28" s="1"/>
  <c r="W2" i="28" s="1"/>
  <c r="X2" i="28" s="1"/>
  <c r="Y2" i="28" s="1"/>
  <c r="Z2" i="28" s="1"/>
  <c r="AA2" i="28" s="1"/>
  <c r="AB2" i="28" s="1"/>
  <c r="AC2" i="28" s="1"/>
  <c r="AD2" i="28" s="1"/>
  <c r="AE2" i="28" s="1"/>
  <c r="AF2" i="28" s="1"/>
  <c r="AG2" i="28" s="1"/>
  <c r="AH2" i="28" s="1"/>
  <c r="J1" i="28"/>
  <c r="K1" i="28" s="1"/>
  <c r="L1" i="28" s="1"/>
  <c r="M1" i="28" s="1"/>
  <c r="N1" i="28" s="1"/>
  <c r="O1" i="28" s="1"/>
  <c r="P1" i="28" s="1"/>
  <c r="Q1" i="28" s="1"/>
  <c r="R1" i="28" s="1"/>
  <c r="S1" i="28" s="1"/>
  <c r="T1" i="28" s="1"/>
  <c r="U1" i="28" s="1"/>
  <c r="V1" i="28" s="1"/>
  <c r="W1" i="28" s="1"/>
  <c r="X1" i="28" s="1"/>
  <c r="Y1" i="28" s="1"/>
  <c r="Z1" i="28" s="1"/>
  <c r="AA1" i="28" s="1"/>
  <c r="AB1" i="28" s="1"/>
  <c r="AC1" i="28" s="1"/>
  <c r="AD1" i="28" s="1"/>
  <c r="AE1" i="28" s="1"/>
  <c r="AF1" i="28" s="1"/>
  <c r="AG1" i="28" s="1"/>
  <c r="AH1" i="28" s="1"/>
  <c r="Q11" i="29" l="1"/>
  <c r="Q21" i="28" s="1"/>
  <c r="P21" i="28"/>
  <c r="J8" i="29"/>
  <c r="K8" i="29" s="1"/>
  <c r="I27" i="28"/>
  <c r="L22" i="28"/>
  <c r="G4" i="28"/>
  <c r="G10" i="28"/>
  <c r="I9" i="29"/>
  <c r="R11" i="29"/>
  <c r="R21" i="28" s="1"/>
  <c r="K22" i="28"/>
  <c r="N14" i="28"/>
  <c r="I11" i="28"/>
  <c r="J22" i="28"/>
  <c r="G20" i="28"/>
  <c r="G16" i="28"/>
  <c r="M26" i="28"/>
  <c r="Q15" i="28"/>
  <c r="O17" i="28"/>
  <c r="P17" i="28" s="1"/>
  <c r="Q17" i="28" s="1"/>
  <c r="R17" i="28" s="1"/>
  <c r="S17" i="28" s="1"/>
  <c r="T17" i="28" s="1"/>
  <c r="U17" i="28" s="1"/>
  <c r="V17" i="28" s="1"/>
  <c r="W17" i="28" s="1"/>
  <c r="X17" i="28" s="1"/>
  <c r="Y17" i="28" s="1"/>
  <c r="Z17" i="28" s="1"/>
  <c r="AA17" i="28" s="1"/>
  <c r="AB17" i="28" s="1"/>
  <c r="AC17" i="28" s="1"/>
  <c r="AD17" i="28" s="1"/>
  <c r="AE17" i="28" s="1"/>
  <c r="AF17" i="28" s="1"/>
  <c r="AG17" i="28" s="1"/>
  <c r="AH17" i="28" s="1"/>
  <c r="E60" i="27"/>
  <c r="F60" i="27" s="1"/>
  <c r="G60" i="27" s="1"/>
  <c r="H60" i="27" s="1"/>
  <c r="I60" i="27" s="1"/>
  <c r="J60" i="27" s="1"/>
  <c r="K60" i="27" s="1"/>
  <c r="L60" i="27" s="1"/>
  <c r="M60" i="27" s="1"/>
  <c r="N60" i="27" s="1"/>
  <c r="O60" i="27" s="1"/>
  <c r="P60" i="27" s="1"/>
  <c r="Q60" i="27" s="1"/>
  <c r="R60" i="27" s="1"/>
  <c r="S60" i="27" s="1"/>
  <c r="T60" i="27" s="1"/>
  <c r="U60" i="27" s="1"/>
  <c r="V60" i="27" s="1"/>
  <c r="W60" i="27" s="1"/>
  <c r="X60" i="27" s="1"/>
  <c r="Y60" i="27" s="1"/>
  <c r="Z60" i="27" s="1"/>
  <c r="AA60" i="27" s="1"/>
  <c r="AB60" i="27" s="1"/>
  <c r="C57" i="19"/>
  <c r="E27" i="27"/>
  <c r="D27" i="27"/>
  <c r="J9" i="29" l="1"/>
  <c r="I13" i="26"/>
  <c r="K9" i="29"/>
  <c r="L8" i="29"/>
  <c r="S11" i="29"/>
  <c r="S21" i="28" s="1"/>
  <c r="G18" i="28"/>
  <c r="I22" i="28"/>
  <c r="G11" i="28"/>
  <c r="G17" i="28"/>
  <c r="M22" i="28"/>
  <c r="I29" i="28"/>
  <c r="I28" i="28"/>
  <c r="R15" i="28"/>
  <c r="Q26" i="28"/>
  <c r="O14" i="28"/>
  <c r="N22" i="28"/>
  <c r="B37" i="8"/>
  <c r="B42" i="8" s="1"/>
  <c r="B36" i="8"/>
  <c r="B41" i="8" s="1"/>
  <c r="B35" i="8"/>
  <c r="B40" i="8" s="1"/>
  <c r="B34" i="8"/>
  <c r="B39" i="8" s="1"/>
  <c r="C21" i="8"/>
  <c r="C22" i="8" s="1"/>
  <c r="E48" i="27"/>
  <c r="C60" i="19"/>
  <c r="E123" i="26"/>
  <c r="E122" i="26"/>
  <c r="E121" i="26"/>
  <c r="E120" i="26"/>
  <c r="E119" i="26"/>
  <c r="E117" i="26"/>
  <c r="D117" i="26"/>
  <c r="C59" i="19"/>
  <c r="C45" i="19"/>
  <c r="C50" i="19" s="1"/>
  <c r="C44" i="19"/>
  <c r="C49" i="19" s="1"/>
  <c r="C43" i="19"/>
  <c r="C48" i="19" s="1"/>
  <c r="B46" i="19"/>
  <c r="B51" i="19" s="1"/>
  <c r="B56" i="19" s="1"/>
  <c r="B45" i="19"/>
  <c r="B50" i="19" s="1"/>
  <c r="B55" i="19" s="1"/>
  <c r="B44" i="19"/>
  <c r="B49" i="19" s="1"/>
  <c r="B54" i="19" s="1"/>
  <c r="B43" i="19"/>
  <c r="B48" i="19" s="1"/>
  <c r="B53" i="19" s="1"/>
  <c r="M81" i="16"/>
  <c r="D105" i="26"/>
  <c r="D112" i="26" s="1"/>
  <c r="B34" i="19"/>
  <c r="B33" i="19"/>
  <c r="B32" i="19"/>
  <c r="B31" i="19"/>
  <c r="C64" i="19"/>
  <c r="D104" i="26"/>
  <c r="D110" i="26" s="1"/>
  <c r="D103" i="26"/>
  <c r="D102" i="26"/>
  <c r="D108" i="26" s="1"/>
  <c r="D101" i="26"/>
  <c r="D107" i="26" s="1"/>
  <c r="C27" i="19"/>
  <c r="D16" i="19"/>
  <c r="H12" i="28"/>
  <c r="H16" i="30" s="1"/>
  <c r="H12" i="19"/>
  <c r="I12" i="19" s="1"/>
  <c r="H8" i="19"/>
  <c r="N62" i="16"/>
  <c r="I44" i="26"/>
  <c r="J1" i="26"/>
  <c r="J36" i="29" s="1"/>
  <c r="I10" i="26"/>
  <c r="I18" i="26" s="1"/>
  <c r="I9" i="26"/>
  <c r="I8" i="26"/>
  <c r="I7" i="26"/>
  <c r="I6" i="26"/>
  <c r="J10" i="26"/>
  <c r="K10" i="26" s="1"/>
  <c r="L10" i="26" s="1"/>
  <c r="M10" i="26" s="1"/>
  <c r="N10" i="26" s="1"/>
  <c r="O10" i="26" s="1"/>
  <c r="P10" i="26" s="1"/>
  <c r="Q10" i="26" s="1"/>
  <c r="R10" i="26" s="1"/>
  <c r="S10" i="26" s="1"/>
  <c r="T10" i="26" s="1"/>
  <c r="U10" i="26" s="1"/>
  <c r="V10" i="26" s="1"/>
  <c r="W10" i="26" s="1"/>
  <c r="X10" i="26" s="1"/>
  <c r="Y10" i="26" s="1"/>
  <c r="Z10" i="26" s="1"/>
  <c r="AA10" i="26" s="1"/>
  <c r="AB10" i="26" s="1"/>
  <c r="AC10" i="26" s="1"/>
  <c r="AD10" i="26" s="1"/>
  <c r="AE10" i="26" s="1"/>
  <c r="AF10" i="26" s="1"/>
  <c r="AG10" i="26" s="1"/>
  <c r="AH10" i="26" s="1"/>
  <c r="AH26" i="26" s="1"/>
  <c r="J9" i="26"/>
  <c r="K9" i="26" s="1"/>
  <c r="L9" i="26" s="1"/>
  <c r="M9" i="26" s="1"/>
  <c r="N9" i="26" s="1"/>
  <c r="O9" i="26" s="1"/>
  <c r="P9" i="26" s="1"/>
  <c r="Q9" i="26" s="1"/>
  <c r="R9" i="26" s="1"/>
  <c r="S9" i="26" s="1"/>
  <c r="T9" i="26" s="1"/>
  <c r="U9" i="26" s="1"/>
  <c r="V9" i="26" s="1"/>
  <c r="W9" i="26" s="1"/>
  <c r="X9" i="26" s="1"/>
  <c r="Y9" i="26" s="1"/>
  <c r="Z9" i="26" s="1"/>
  <c r="AA9" i="26" s="1"/>
  <c r="AB9" i="26" s="1"/>
  <c r="AC9" i="26" s="1"/>
  <c r="AD9" i="26" s="1"/>
  <c r="AE9" i="26" s="1"/>
  <c r="AF9" i="26" s="1"/>
  <c r="AG9" i="26" s="1"/>
  <c r="AH9" i="26" s="1"/>
  <c r="J8" i="26"/>
  <c r="K8" i="26" s="1"/>
  <c r="L8" i="26" s="1"/>
  <c r="M8" i="26" s="1"/>
  <c r="N8" i="26" s="1"/>
  <c r="O8" i="26" s="1"/>
  <c r="P8" i="26" s="1"/>
  <c r="Q8" i="26" s="1"/>
  <c r="R8" i="26" s="1"/>
  <c r="S8" i="26" s="1"/>
  <c r="T8" i="26" s="1"/>
  <c r="U8" i="26" s="1"/>
  <c r="V8" i="26" s="1"/>
  <c r="W8" i="26" s="1"/>
  <c r="X8" i="26" s="1"/>
  <c r="Y8" i="26" s="1"/>
  <c r="Z8" i="26" s="1"/>
  <c r="AA8" i="26" s="1"/>
  <c r="AB8" i="26" s="1"/>
  <c r="AC8" i="26" s="1"/>
  <c r="AD8" i="26" s="1"/>
  <c r="AE8" i="26" s="1"/>
  <c r="AF8" i="26" s="1"/>
  <c r="AG8" i="26" s="1"/>
  <c r="AH8" i="26" s="1"/>
  <c r="J7" i="26"/>
  <c r="K7" i="26" s="1"/>
  <c r="L7" i="26" s="1"/>
  <c r="M7" i="26" s="1"/>
  <c r="N7" i="26" s="1"/>
  <c r="O7" i="26" s="1"/>
  <c r="P7" i="26" s="1"/>
  <c r="Q7" i="26" s="1"/>
  <c r="R7" i="26" s="1"/>
  <c r="S7" i="26" s="1"/>
  <c r="T7" i="26" s="1"/>
  <c r="U7" i="26" s="1"/>
  <c r="V7" i="26" s="1"/>
  <c r="W7" i="26" s="1"/>
  <c r="X7" i="26" s="1"/>
  <c r="Y7" i="26" s="1"/>
  <c r="Z7" i="26" s="1"/>
  <c r="AA7" i="26" s="1"/>
  <c r="AB7" i="26" s="1"/>
  <c r="AC7" i="26" s="1"/>
  <c r="AD7" i="26" s="1"/>
  <c r="AE7" i="26" s="1"/>
  <c r="AF7" i="26" s="1"/>
  <c r="AG7" i="26" s="1"/>
  <c r="AH7" i="26" s="1"/>
  <c r="J6" i="26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J5" i="26"/>
  <c r="K5" i="26" s="1"/>
  <c r="L5" i="26" s="1"/>
  <c r="M5" i="26" s="1"/>
  <c r="N5" i="26" s="1"/>
  <c r="O5" i="26" s="1"/>
  <c r="P5" i="26" s="1"/>
  <c r="Q5" i="26" s="1"/>
  <c r="R5" i="26" s="1"/>
  <c r="S5" i="26" s="1"/>
  <c r="T5" i="26" s="1"/>
  <c r="U5" i="26" s="1"/>
  <c r="V5" i="26" s="1"/>
  <c r="W5" i="26" s="1"/>
  <c r="X5" i="26" s="1"/>
  <c r="Y5" i="26" s="1"/>
  <c r="Z5" i="26" s="1"/>
  <c r="AA5" i="26" s="1"/>
  <c r="AB5" i="26" s="1"/>
  <c r="AC5" i="26" s="1"/>
  <c r="AD5" i="26" s="1"/>
  <c r="AE5" i="26" s="1"/>
  <c r="AF5" i="26" s="1"/>
  <c r="AG5" i="26" s="1"/>
  <c r="AH5" i="26" s="1"/>
  <c r="AH25" i="26" l="1"/>
  <c r="AH54" i="26" s="1"/>
  <c r="I4" i="30"/>
  <c r="AH21" i="26"/>
  <c r="AH22" i="26"/>
  <c r="AH37" i="26" s="1"/>
  <c r="AH23" i="26"/>
  <c r="AH24" i="26"/>
  <c r="M8" i="29"/>
  <c r="L9" i="29"/>
  <c r="I30" i="28"/>
  <c r="R26" i="28"/>
  <c r="S15" i="28"/>
  <c r="P14" i="28"/>
  <c r="O22" i="28"/>
  <c r="I12" i="28"/>
  <c r="I16" i="30" s="1"/>
  <c r="I23" i="28"/>
  <c r="C54" i="19"/>
  <c r="C55" i="19"/>
  <c r="C53" i="19"/>
  <c r="W23" i="26"/>
  <c r="I144" i="26"/>
  <c r="E46" i="27"/>
  <c r="D119" i="26"/>
  <c r="D120" i="26"/>
  <c r="D122" i="26"/>
  <c r="D109" i="26"/>
  <c r="D121" i="26"/>
  <c r="D123" i="26"/>
  <c r="D129" i="26" s="1"/>
  <c r="AG21" i="26"/>
  <c r="K24" i="26"/>
  <c r="M25" i="26"/>
  <c r="M54" i="26" s="1"/>
  <c r="T25" i="26"/>
  <c r="T54" i="26" s="1"/>
  <c r="X25" i="26"/>
  <c r="X54" i="26" s="1"/>
  <c r="AB25" i="26"/>
  <c r="AB54" i="26" s="1"/>
  <c r="AF25" i="26"/>
  <c r="AF54" i="26" s="1"/>
  <c r="Y21" i="26"/>
  <c r="N25" i="26"/>
  <c r="N54" i="26" s="1"/>
  <c r="AC25" i="26"/>
  <c r="AC54" i="26" s="1"/>
  <c r="AG25" i="26"/>
  <c r="AG54" i="26" s="1"/>
  <c r="M24" i="26"/>
  <c r="Z26" i="26"/>
  <c r="AF24" i="26"/>
  <c r="D17" i="19"/>
  <c r="I8" i="19"/>
  <c r="V22" i="26"/>
  <c r="V37" i="26" s="1"/>
  <c r="J26" i="26"/>
  <c r="N26" i="26"/>
  <c r="U26" i="26"/>
  <c r="Y26" i="26"/>
  <c r="AC26" i="26"/>
  <c r="AG26" i="26"/>
  <c r="K21" i="26"/>
  <c r="Z22" i="26"/>
  <c r="Z37" i="26" s="1"/>
  <c r="X24" i="26"/>
  <c r="U25" i="26"/>
  <c r="U54" i="26" s="1"/>
  <c r="J23" i="26"/>
  <c r="T24" i="26"/>
  <c r="O23" i="26"/>
  <c r="V23" i="26"/>
  <c r="Z23" i="26"/>
  <c r="AD23" i="26"/>
  <c r="K25" i="26"/>
  <c r="K54" i="26" s="1"/>
  <c r="AB24" i="26"/>
  <c r="Y25" i="26"/>
  <c r="Y54" i="26" s="1"/>
  <c r="AD26" i="26"/>
  <c r="AE24" i="26"/>
  <c r="AE25" i="26"/>
  <c r="AE54" i="26" s="1"/>
  <c r="AE21" i="26"/>
  <c r="AE26" i="26"/>
  <c r="AE22" i="26"/>
  <c r="AE37" i="26" s="1"/>
  <c r="O26" i="26"/>
  <c r="AC21" i="26"/>
  <c r="L24" i="26"/>
  <c r="L25" i="26"/>
  <c r="L54" i="26" s="1"/>
  <c r="L21" i="26"/>
  <c r="L26" i="26"/>
  <c r="L22" i="26"/>
  <c r="L37" i="26" s="1"/>
  <c r="W24" i="26"/>
  <c r="W25" i="26"/>
  <c r="W54" i="26" s="1"/>
  <c r="W21" i="26"/>
  <c r="W26" i="26"/>
  <c r="W22" i="26"/>
  <c r="W37" i="26" s="1"/>
  <c r="AA24" i="26"/>
  <c r="AA25" i="26"/>
  <c r="AA54" i="26" s="1"/>
  <c r="AA21" i="26"/>
  <c r="AA26" i="26"/>
  <c r="AA22" i="26"/>
  <c r="AA37" i="26" s="1"/>
  <c r="N21" i="26"/>
  <c r="AD22" i="26"/>
  <c r="AD37" i="26" s="1"/>
  <c r="AA23" i="26"/>
  <c r="U21" i="26"/>
  <c r="O22" i="26"/>
  <c r="O37" i="26" s="1"/>
  <c r="L23" i="26"/>
  <c r="AE23" i="26"/>
  <c r="V26" i="26"/>
  <c r="J24" i="26"/>
  <c r="K22" i="26"/>
  <c r="K37" i="26" s="1"/>
  <c r="K26" i="26"/>
  <c r="O21" i="26"/>
  <c r="V21" i="26"/>
  <c r="Z21" i="26"/>
  <c r="AD21" i="26"/>
  <c r="M23" i="26"/>
  <c r="T23" i="26"/>
  <c r="X23" i="26"/>
  <c r="AB23" i="26"/>
  <c r="AF23" i="26"/>
  <c r="N24" i="26"/>
  <c r="U24" i="26"/>
  <c r="Y24" i="26"/>
  <c r="AC24" i="26"/>
  <c r="AG24" i="26"/>
  <c r="O25" i="26"/>
  <c r="O54" i="26" s="1"/>
  <c r="V25" i="26"/>
  <c r="V54" i="26" s="1"/>
  <c r="Z25" i="26"/>
  <c r="Z54" i="26" s="1"/>
  <c r="AD25" i="26"/>
  <c r="AD54" i="26" s="1"/>
  <c r="J21" i="26"/>
  <c r="J25" i="26"/>
  <c r="J54" i="26" s="1"/>
  <c r="K23" i="26"/>
  <c r="M22" i="26"/>
  <c r="M37" i="26" s="1"/>
  <c r="T22" i="26"/>
  <c r="T37" i="26" s="1"/>
  <c r="X22" i="26"/>
  <c r="X37" i="26" s="1"/>
  <c r="AB22" i="26"/>
  <c r="AB37" i="26" s="1"/>
  <c r="AF22" i="26"/>
  <c r="AF37" i="26" s="1"/>
  <c r="N23" i="26"/>
  <c r="U23" i="26"/>
  <c r="Y23" i="26"/>
  <c r="AC23" i="26"/>
  <c r="AG23" i="26"/>
  <c r="O24" i="26"/>
  <c r="V24" i="26"/>
  <c r="Z24" i="26"/>
  <c r="AD24" i="26"/>
  <c r="M26" i="26"/>
  <c r="T26" i="26"/>
  <c r="X26" i="26"/>
  <c r="AB26" i="26"/>
  <c r="AF26" i="26"/>
  <c r="J22" i="26"/>
  <c r="J37" i="26" s="1"/>
  <c r="M21" i="26"/>
  <c r="T21" i="26"/>
  <c r="X21" i="26"/>
  <c r="AB21" i="26"/>
  <c r="AF21" i="26"/>
  <c r="N22" i="26"/>
  <c r="N37" i="26" s="1"/>
  <c r="U22" i="26"/>
  <c r="U37" i="26" s="1"/>
  <c r="Y22" i="26"/>
  <c r="Y37" i="26" s="1"/>
  <c r="AC22" i="26"/>
  <c r="AC37" i="26" s="1"/>
  <c r="AG22" i="26"/>
  <c r="AG37" i="26" s="1"/>
  <c r="K1" i="26"/>
  <c r="K36" i="29" s="1"/>
  <c r="J2" i="26"/>
  <c r="K2" i="26" s="1"/>
  <c r="L2" i="26" s="1"/>
  <c r="M2" i="26" s="1"/>
  <c r="N2" i="26" s="1"/>
  <c r="O2" i="26" s="1"/>
  <c r="P2" i="26" s="1"/>
  <c r="Q2" i="26" s="1"/>
  <c r="R2" i="26" s="1"/>
  <c r="S2" i="26" s="1"/>
  <c r="T2" i="26" s="1"/>
  <c r="U2" i="26" s="1"/>
  <c r="V2" i="26" s="1"/>
  <c r="W2" i="26" s="1"/>
  <c r="X2" i="26" s="1"/>
  <c r="Y2" i="26" s="1"/>
  <c r="Z2" i="26" s="1"/>
  <c r="AA2" i="26" s="1"/>
  <c r="AB2" i="26" s="1"/>
  <c r="AC2" i="26" s="1"/>
  <c r="AD2" i="26" s="1"/>
  <c r="AE2" i="26" s="1"/>
  <c r="AF2" i="26" s="1"/>
  <c r="AG2" i="26" s="1"/>
  <c r="AH2" i="26" s="1"/>
  <c r="AH36" i="26" l="1"/>
  <c r="AH39" i="26" s="1"/>
  <c r="I11" i="30"/>
  <c r="AH53" i="26"/>
  <c r="AH56" i="26" s="1"/>
  <c r="AG36" i="26"/>
  <c r="K36" i="26"/>
  <c r="K39" i="26" s="1"/>
  <c r="Y36" i="26"/>
  <c r="Y39" i="26" s="1"/>
  <c r="I33" i="28"/>
  <c r="N8" i="29"/>
  <c r="M9" i="29"/>
  <c r="Q14" i="28"/>
  <c r="P22" i="28"/>
  <c r="I31" i="28"/>
  <c r="S26" i="28"/>
  <c r="T15" i="28"/>
  <c r="J144" i="26"/>
  <c r="J11" i="30" s="1"/>
  <c r="J12" i="28"/>
  <c r="J16" i="30" s="1"/>
  <c r="J23" i="28"/>
  <c r="E47" i="27"/>
  <c r="D125" i="26"/>
  <c r="D134" i="26"/>
  <c r="D126" i="26"/>
  <c r="D135" i="26"/>
  <c r="D127" i="26"/>
  <c r="D136" i="26"/>
  <c r="D128" i="26"/>
  <c r="D137" i="26"/>
  <c r="O53" i="26"/>
  <c r="O56" i="26" s="1"/>
  <c r="W53" i="26"/>
  <c r="W56" i="26" s="1"/>
  <c r="AE53" i="26"/>
  <c r="AE56" i="26" s="1"/>
  <c r="AD53" i="26"/>
  <c r="AD56" i="26" s="1"/>
  <c r="U53" i="26"/>
  <c r="U56" i="26" s="1"/>
  <c r="L53" i="26"/>
  <c r="L56" i="26" s="1"/>
  <c r="X53" i="26"/>
  <c r="X56" i="26" s="1"/>
  <c r="AF53" i="26"/>
  <c r="AF56" i="26" s="1"/>
  <c r="Z53" i="26"/>
  <c r="Z56" i="26" s="1"/>
  <c r="AG53" i="26"/>
  <c r="AG56" i="26" s="1"/>
  <c r="N53" i="26"/>
  <c r="N56" i="26" s="1"/>
  <c r="J53" i="26"/>
  <c r="J56" i="26" s="1"/>
  <c r="T53" i="26"/>
  <c r="T56" i="26" s="1"/>
  <c r="K53" i="26"/>
  <c r="K56" i="26" s="1"/>
  <c r="Y53" i="26"/>
  <c r="Y56" i="26" s="1"/>
  <c r="AB53" i="26"/>
  <c r="AB56" i="26" s="1"/>
  <c r="V53" i="26"/>
  <c r="V56" i="26" s="1"/>
  <c r="AC53" i="26"/>
  <c r="AC56" i="26" s="1"/>
  <c r="AA53" i="26"/>
  <c r="AA56" i="26" s="1"/>
  <c r="M53" i="26"/>
  <c r="M56" i="26" s="1"/>
  <c r="AF36" i="26"/>
  <c r="AF39" i="26" s="1"/>
  <c r="M36" i="26"/>
  <c r="M39" i="26" s="1"/>
  <c r="AB36" i="26"/>
  <c r="AB39" i="26" s="1"/>
  <c r="O36" i="26"/>
  <c r="O39" i="26" s="1"/>
  <c r="N36" i="26"/>
  <c r="N39" i="26" s="1"/>
  <c r="W36" i="26"/>
  <c r="W39" i="26" s="1"/>
  <c r="P24" i="26"/>
  <c r="P25" i="26"/>
  <c r="P54" i="26" s="1"/>
  <c r="P21" i="26"/>
  <c r="P26" i="26"/>
  <c r="P22" i="26"/>
  <c r="P37" i="26" s="1"/>
  <c r="P23" i="26"/>
  <c r="V36" i="26"/>
  <c r="V39" i="26" s="1"/>
  <c r="AA36" i="26"/>
  <c r="AA39" i="26" s="1"/>
  <c r="X36" i="26"/>
  <c r="X39" i="26" s="1"/>
  <c r="AD36" i="26"/>
  <c r="AD39" i="26" s="1"/>
  <c r="U36" i="26"/>
  <c r="U39" i="26" s="1"/>
  <c r="L36" i="26"/>
  <c r="L39" i="26" s="1"/>
  <c r="AC36" i="26"/>
  <c r="AC39" i="26" s="1"/>
  <c r="T36" i="26"/>
  <c r="T39" i="26" s="1"/>
  <c r="J36" i="26"/>
  <c r="J39" i="26" s="1"/>
  <c r="Z36" i="26"/>
  <c r="Z39" i="26" s="1"/>
  <c r="AE36" i="26"/>
  <c r="AE39" i="26" s="1"/>
  <c r="AG39" i="26"/>
  <c r="L1" i="26"/>
  <c r="L36" i="29" s="1"/>
  <c r="D61" i="27"/>
  <c r="G21" i="28"/>
  <c r="E50" i="27" s="1"/>
  <c r="I12" i="30" l="1"/>
  <c r="G19" i="28"/>
  <c r="E49" i="27" s="1"/>
  <c r="O8" i="29"/>
  <c r="N9" i="29"/>
  <c r="R14" i="28"/>
  <c r="Q22" i="28"/>
  <c r="J28" i="28"/>
  <c r="J27" i="28"/>
  <c r="J29" i="28"/>
  <c r="K23" i="28"/>
  <c r="K12" i="28"/>
  <c r="K16" i="30" s="1"/>
  <c r="T26" i="28"/>
  <c r="U15" i="28"/>
  <c r="Q22" i="26"/>
  <c r="Q37" i="26" s="1"/>
  <c r="Q23" i="26"/>
  <c r="Q24" i="26"/>
  <c r="Q26" i="26"/>
  <c r="Q21" i="26"/>
  <c r="Q25" i="26"/>
  <c r="Q54" i="26" s="1"/>
  <c r="P53" i="26"/>
  <c r="P56" i="26" s="1"/>
  <c r="P36" i="26"/>
  <c r="P39" i="26" s="1"/>
  <c r="I16" i="26"/>
  <c r="I47" i="26" s="1"/>
  <c r="I30" i="26"/>
  <c r="I15" i="26"/>
  <c r="I14" i="26"/>
  <c r="I31" i="26" s="1"/>
  <c r="I17" i="26"/>
  <c r="I48" i="26" s="1"/>
  <c r="M1" i="26"/>
  <c r="M36" i="29" s="1"/>
  <c r="R25" i="26"/>
  <c r="R54" i="26" s="1"/>
  <c r="R23" i="26"/>
  <c r="R21" i="26"/>
  <c r="R26" i="26"/>
  <c r="R24" i="26"/>
  <c r="R22" i="26"/>
  <c r="R37" i="26" s="1"/>
  <c r="E61" i="27"/>
  <c r="Q36" i="26" l="1"/>
  <c r="Q53" i="26"/>
  <c r="Q56" i="26" s="1"/>
  <c r="Q39" i="26"/>
  <c r="I33" i="26"/>
  <c r="O9" i="29"/>
  <c r="P8" i="29"/>
  <c r="L12" i="28"/>
  <c r="L16" i="30" s="1"/>
  <c r="L23" i="28"/>
  <c r="V15" i="28"/>
  <c r="U26" i="28"/>
  <c r="K28" i="28"/>
  <c r="K27" i="28"/>
  <c r="K29" i="28"/>
  <c r="J30" i="28"/>
  <c r="S14" i="28"/>
  <c r="R22" i="28"/>
  <c r="S24" i="26"/>
  <c r="S26" i="26"/>
  <c r="S23" i="26"/>
  <c r="S21" i="26"/>
  <c r="S22" i="26"/>
  <c r="S37" i="26" s="1"/>
  <c r="S25" i="26"/>
  <c r="S54" i="26" s="1"/>
  <c r="R53" i="26"/>
  <c r="R56" i="26" s="1"/>
  <c r="R36" i="26"/>
  <c r="R39" i="26" s="1"/>
  <c r="J18" i="26"/>
  <c r="J14" i="26"/>
  <c r="J31" i="26" s="1"/>
  <c r="J17" i="26"/>
  <c r="J48" i="26" s="1"/>
  <c r="J13" i="26"/>
  <c r="J16" i="26"/>
  <c r="J15" i="26"/>
  <c r="I50" i="26"/>
  <c r="I23" i="26"/>
  <c r="I26" i="26"/>
  <c r="I22" i="26"/>
  <c r="I37" i="26" s="1"/>
  <c r="I25" i="26"/>
  <c r="I54" i="26" s="1"/>
  <c r="I21" i="26"/>
  <c r="I24" i="26"/>
  <c r="N1" i="26"/>
  <c r="N36" i="29" s="1"/>
  <c r="F61" i="27"/>
  <c r="S53" i="26" l="1"/>
  <c r="I93" i="26"/>
  <c r="J93" i="26"/>
  <c r="I66" i="26"/>
  <c r="I68" i="26"/>
  <c r="I99" i="26"/>
  <c r="J99" i="26"/>
  <c r="J66" i="26"/>
  <c r="J83" i="26" s="1"/>
  <c r="J68" i="26"/>
  <c r="J86" i="26" s="1"/>
  <c r="S36" i="26"/>
  <c r="S39" i="26" s="1"/>
  <c r="Q8" i="29"/>
  <c r="P9" i="29"/>
  <c r="J31" i="28"/>
  <c r="J33" i="28" s="1"/>
  <c r="M12" i="28"/>
  <c r="M16" i="30" s="1"/>
  <c r="M23" i="28"/>
  <c r="T14" i="28"/>
  <c r="S22" i="28"/>
  <c r="L27" i="28"/>
  <c r="L29" i="28"/>
  <c r="L28" i="28"/>
  <c r="K30" i="28"/>
  <c r="K31" i="28" s="1"/>
  <c r="V26" i="28"/>
  <c r="W15" i="28"/>
  <c r="S56" i="26"/>
  <c r="I53" i="26"/>
  <c r="I56" i="26" s="1"/>
  <c r="I59" i="26" s="1"/>
  <c r="J47" i="26"/>
  <c r="J50" i="26" s="1"/>
  <c r="I36" i="26"/>
  <c r="I39" i="26" s="1"/>
  <c r="I42" i="26" s="1"/>
  <c r="I83" i="26"/>
  <c r="I86" i="26"/>
  <c r="J30" i="26"/>
  <c r="J33" i="26" s="1"/>
  <c r="J42" i="26" s="1"/>
  <c r="K17" i="26"/>
  <c r="K48" i="26" s="1"/>
  <c r="K18" i="26"/>
  <c r="K15" i="26"/>
  <c r="K14" i="26"/>
  <c r="K31" i="26" s="1"/>
  <c r="K13" i="26"/>
  <c r="K16" i="26"/>
  <c r="O1" i="26"/>
  <c r="O36" i="29" s="1"/>
  <c r="G61" i="27"/>
  <c r="C23" i="8"/>
  <c r="C24" i="8" s="1"/>
  <c r="C25" i="8" s="1"/>
  <c r="D15" i="19"/>
  <c r="D14" i="19"/>
  <c r="D13" i="19"/>
  <c r="D12" i="19"/>
  <c r="J12" i="19" s="1"/>
  <c r="D11" i="19"/>
  <c r="D10" i="19"/>
  <c r="D9" i="19"/>
  <c r="D8" i="19"/>
  <c r="J8" i="19" s="1"/>
  <c r="X25" i="16"/>
  <c r="T24" i="16"/>
  <c r="Q24" i="16"/>
  <c r="Y23" i="16"/>
  <c r="AC21" i="16"/>
  <c r="AC25" i="16" s="1"/>
  <c r="AB21" i="16"/>
  <c r="AB23" i="16" s="1"/>
  <c r="AA21" i="16"/>
  <c r="AA24" i="16" s="1"/>
  <c r="Z21" i="16"/>
  <c r="Z25" i="16" s="1"/>
  <c r="Y21" i="16"/>
  <c r="Y25" i="16" s="1"/>
  <c r="X21" i="16"/>
  <c r="X23" i="16" s="1"/>
  <c r="W21" i="16"/>
  <c r="W24" i="16" s="1"/>
  <c r="V21" i="16"/>
  <c r="V25" i="16" s="1"/>
  <c r="U21" i="16"/>
  <c r="U25" i="16" s="1"/>
  <c r="T21" i="16"/>
  <c r="T23" i="16" s="1"/>
  <c r="S21" i="16"/>
  <c r="S24" i="16" s="1"/>
  <c r="R21" i="16"/>
  <c r="R25" i="16" s="1"/>
  <c r="Q21" i="16"/>
  <c r="Q25" i="16" s="1"/>
  <c r="K10" i="16"/>
  <c r="R7" i="16"/>
  <c r="R10" i="16" s="1"/>
  <c r="Q7" i="16"/>
  <c r="Q9" i="16" s="1"/>
  <c r="P7" i="16"/>
  <c r="P9" i="16" s="1"/>
  <c r="O7" i="16"/>
  <c r="O11" i="16" s="1"/>
  <c r="N7" i="16"/>
  <c r="N10" i="16" s="1"/>
  <c r="M7" i="16"/>
  <c r="M9" i="16" s="1"/>
  <c r="L7" i="16"/>
  <c r="L9" i="16" s="1"/>
  <c r="K7" i="16"/>
  <c r="K11" i="16" s="1"/>
  <c r="J7" i="16"/>
  <c r="J10" i="16" s="1"/>
  <c r="I7" i="16"/>
  <c r="I9" i="16" s="1"/>
  <c r="H7" i="16"/>
  <c r="H9" i="16" s="1"/>
  <c r="G7" i="16"/>
  <c r="G11" i="16" s="1"/>
  <c r="F7" i="16"/>
  <c r="F10" i="16" s="1"/>
  <c r="E7" i="16"/>
  <c r="E9" i="16" s="1"/>
  <c r="S7" i="16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Q2" i="16" s="1"/>
  <c r="R2" i="16" s="1"/>
  <c r="S2" i="16" s="1"/>
  <c r="T2" i="16" s="1"/>
  <c r="U2" i="16" s="1"/>
  <c r="V2" i="16" s="1"/>
  <c r="W2" i="16" s="1"/>
  <c r="X2" i="16" s="1"/>
  <c r="Y2" i="16" s="1"/>
  <c r="Z2" i="16" s="1"/>
  <c r="AA2" i="16" s="1"/>
  <c r="AB2" i="16" s="1"/>
  <c r="AC2" i="16" s="1"/>
  <c r="AD2" i="16" s="1"/>
  <c r="AE2" i="16" s="1"/>
  <c r="AF2" i="16" s="1"/>
  <c r="AG2" i="16" s="1"/>
  <c r="AH2" i="16" s="1"/>
  <c r="AI2" i="16" s="1"/>
  <c r="AJ2" i="16" s="1"/>
  <c r="AK2" i="16" s="1"/>
  <c r="AL2" i="16" s="1"/>
  <c r="AM2" i="16" s="1"/>
  <c r="AN2" i="16" s="1"/>
  <c r="AO2" i="16" s="1"/>
  <c r="AP2" i="16" s="1"/>
  <c r="AQ2" i="16" s="1"/>
  <c r="AR2" i="16" s="1"/>
  <c r="AS2" i="16" s="1"/>
  <c r="AT2" i="16" s="1"/>
  <c r="AU2" i="16" s="1"/>
  <c r="AV2" i="16" s="1"/>
  <c r="AW2" i="16" s="1"/>
  <c r="AX2" i="16" s="1"/>
  <c r="AY2" i="16" s="1"/>
  <c r="AZ2" i="16" s="1"/>
  <c r="BA2" i="16" s="1"/>
  <c r="O10" i="16" l="1"/>
  <c r="P10" i="16"/>
  <c r="P11" i="16"/>
  <c r="G9" i="16"/>
  <c r="U24" i="16"/>
  <c r="K93" i="26"/>
  <c r="J9" i="16"/>
  <c r="X24" i="16"/>
  <c r="K9" i="16"/>
  <c r="T25" i="16"/>
  <c r="R9" i="16"/>
  <c r="W25" i="16"/>
  <c r="J84" i="26"/>
  <c r="J85" i="26"/>
  <c r="I87" i="26"/>
  <c r="I88" i="26"/>
  <c r="I84" i="26"/>
  <c r="I85" i="26"/>
  <c r="J87" i="26"/>
  <c r="J88" i="26"/>
  <c r="K99" i="26"/>
  <c r="K68" i="26"/>
  <c r="K86" i="26" s="1"/>
  <c r="K66" i="26"/>
  <c r="K83" i="26" s="1"/>
  <c r="K33" i="28"/>
  <c r="K12" i="30" s="1"/>
  <c r="T26" i="16"/>
  <c r="N9" i="16"/>
  <c r="AA25" i="16"/>
  <c r="P12" i="16"/>
  <c r="O9" i="16"/>
  <c r="O12" i="16" s="1"/>
  <c r="H11" i="16"/>
  <c r="Q23" i="16"/>
  <c r="Q26" i="16" s="1"/>
  <c r="Y24" i="16"/>
  <c r="AB25" i="16"/>
  <c r="J59" i="26"/>
  <c r="J60" i="26" s="1"/>
  <c r="K12" i="16"/>
  <c r="L11" i="16"/>
  <c r="L12" i="16" s="1"/>
  <c r="AB24" i="16"/>
  <c r="AB26" i="16" s="1"/>
  <c r="X26" i="16"/>
  <c r="AC24" i="16"/>
  <c r="L10" i="16"/>
  <c r="U23" i="16"/>
  <c r="G10" i="16"/>
  <c r="Y26" i="16"/>
  <c r="F9" i="16"/>
  <c r="H10" i="16"/>
  <c r="AC23" i="16"/>
  <c r="AC26" i="16" s="1"/>
  <c r="S25" i="16"/>
  <c r="S11" i="16"/>
  <c r="S9" i="16"/>
  <c r="S10" i="16"/>
  <c r="G12" i="16"/>
  <c r="E11" i="16"/>
  <c r="I11" i="16"/>
  <c r="R23" i="16"/>
  <c r="Z23" i="16"/>
  <c r="E10" i="16"/>
  <c r="I10" i="16"/>
  <c r="M10" i="16"/>
  <c r="Q10" i="16"/>
  <c r="F11" i="16"/>
  <c r="J11" i="16"/>
  <c r="J12" i="16" s="1"/>
  <c r="N11" i="16"/>
  <c r="N12" i="16" s="1"/>
  <c r="R11" i="16"/>
  <c r="R12" i="16" s="1"/>
  <c r="S23" i="16"/>
  <c r="S26" i="16" s="1"/>
  <c r="W23" i="16"/>
  <c r="AA23" i="16"/>
  <c r="AA26" i="16" s="1"/>
  <c r="R24" i="16"/>
  <c r="V24" i="16"/>
  <c r="Z24" i="16"/>
  <c r="M11" i="16"/>
  <c r="Q11" i="16"/>
  <c r="V23" i="16"/>
  <c r="R8" i="29"/>
  <c r="Q9" i="29"/>
  <c r="M27" i="28"/>
  <c r="M29" i="28"/>
  <c r="M28" i="28"/>
  <c r="N12" i="28"/>
  <c r="N16" i="30" s="1"/>
  <c r="N23" i="28"/>
  <c r="W26" i="28"/>
  <c r="X15" i="28"/>
  <c r="U14" i="28"/>
  <c r="T22" i="28"/>
  <c r="J12" i="30"/>
  <c r="L30" i="28"/>
  <c r="L31" i="28" s="1"/>
  <c r="C37" i="8"/>
  <c r="C42" i="8" s="1"/>
  <c r="AH136" i="26" s="1"/>
  <c r="AH141" i="26" s="1"/>
  <c r="C35" i="8"/>
  <c r="C40" i="8" s="1"/>
  <c r="AH137" i="26" s="1"/>
  <c r="AH142" i="26" s="1"/>
  <c r="C34" i="8"/>
  <c r="C39" i="8" s="1"/>
  <c r="C36" i="8"/>
  <c r="C41" i="8" s="1"/>
  <c r="AH135" i="26" s="1"/>
  <c r="AH140" i="26" s="1"/>
  <c r="J94" i="26"/>
  <c r="J95" i="26" s="1"/>
  <c r="J8" i="30" s="1"/>
  <c r="J117" i="26"/>
  <c r="J118" i="26" s="1"/>
  <c r="I94" i="26"/>
  <c r="I117" i="26"/>
  <c r="I118" i="26" s="1"/>
  <c r="K47" i="26"/>
  <c r="K50" i="26" s="1"/>
  <c r="I60" i="26"/>
  <c r="J100" i="26"/>
  <c r="J105" i="26" s="1"/>
  <c r="J112" i="26" s="1"/>
  <c r="J104" i="26"/>
  <c r="J110" i="26" s="1"/>
  <c r="J103" i="26"/>
  <c r="J109" i="26" s="1"/>
  <c r="J102" i="26"/>
  <c r="J108" i="26" s="1"/>
  <c r="J101" i="26"/>
  <c r="J107" i="26" s="1"/>
  <c r="I100" i="26"/>
  <c r="I105" i="26" s="1"/>
  <c r="I102" i="26"/>
  <c r="I104" i="26"/>
  <c r="I101" i="26"/>
  <c r="I103" i="26"/>
  <c r="K30" i="26"/>
  <c r="K33" i="26" s="1"/>
  <c r="K42" i="26" s="1"/>
  <c r="I67" i="26"/>
  <c r="J67" i="26"/>
  <c r="J69" i="26"/>
  <c r="I69" i="26"/>
  <c r="L18" i="26"/>
  <c r="L14" i="26"/>
  <c r="L31" i="26" s="1"/>
  <c r="L16" i="26"/>
  <c r="L17" i="26"/>
  <c r="L48" i="26" s="1"/>
  <c r="L15" i="26"/>
  <c r="L13" i="26"/>
  <c r="P1" i="26"/>
  <c r="P36" i="29" s="1"/>
  <c r="H61" i="27"/>
  <c r="H12" i="16" l="1"/>
  <c r="W26" i="16"/>
  <c r="K134" i="26"/>
  <c r="AH134" i="26"/>
  <c r="AH139" i="26" s="1"/>
  <c r="AH143" i="26" s="1"/>
  <c r="V26" i="16"/>
  <c r="E12" i="16"/>
  <c r="U26" i="16"/>
  <c r="I61" i="26"/>
  <c r="I62" i="26" s="1"/>
  <c r="Z26" i="16"/>
  <c r="R26" i="16"/>
  <c r="K84" i="26"/>
  <c r="K85" i="26"/>
  <c r="J89" i="26"/>
  <c r="J90" i="26" s="1"/>
  <c r="J7" i="30" s="1"/>
  <c r="I89" i="26"/>
  <c r="K87" i="26"/>
  <c r="K88" i="26"/>
  <c r="L93" i="26"/>
  <c r="J61" i="26"/>
  <c r="J62" i="26" s="1"/>
  <c r="J5" i="30" s="1"/>
  <c r="L68" i="26"/>
  <c r="L66" i="26"/>
  <c r="L99" i="26"/>
  <c r="K59" i="26"/>
  <c r="L33" i="28"/>
  <c r="L12" i="30" s="1"/>
  <c r="F12" i="16"/>
  <c r="Q12" i="16"/>
  <c r="M12" i="16"/>
  <c r="I12" i="16"/>
  <c r="J43" i="26"/>
  <c r="S12" i="16"/>
  <c r="R9" i="29"/>
  <c r="S8" i="29"/>
  <c r="M30" i="28"/>
  <c r="M31" i="28" s="1"/>
  <c r="I61" i="27"/>
  <c r="N28" i="28"/>
  <c r="N27" i="28"/>
  <c r="N29" i="28"/>
  <c r="V14" i="28"/>
  <c r="U22" i="28"/>
  <c r="O12" i="28"/>
  <c r="O16" i="30" s="1"/>
  <c r="G16" i="30" s="1"/>
  <c r="O23" i="28"/>
  <c r="X26" i="28"/>
  <c r="Y15" i="28"/>
  <c r="P135" i="26"/>
  <c r="P140" i="26" s="1"/>
  <c r="Q135" i="26"/>
  <c r="Q140" i="26" s="1"/>
  <c r="AG135" i="26"/>
  <c r="AG140" i="26" s="1"/>
  <c r="M135" i="26"/>
  <c r="M140" i="26" s="1"/>
  <c r="T135" i="26"/>
  <c r="T140" i="26" s="1"/>
  <c r="V135" i="26"/>
  <c r="V140" i="26" s="1"/>
  <c r="W135" i="26"/>
  <c r="W140" i="26" s="1"/>
  <c r="Z135" i="26"/>
  <c r="Z140" i="26" s="1"/>
  <c r="AC135" i="26"/>
  <c r="AC140" i="26" s="1"/>
  <c r="AF135" i="26"/>
  <c r="AF140" i="26" s="1"/>
  <c r="L135" i="26"/>
  <c r="L140" i="26" s="1"/>
  <c r="N135" i="26"/>
  <c r="N140" i="26" s="1"/>
  <c r="O135" i="26"/>
  <c r="O140" i="26" s="1"/>
  <c r="R135" i="26"/>
  <c r="R140" i="26" s="1"/>
  <c r="X135" i="26"/>
  <c r="X140" i="26" s="1"/>
  <c r="Y135" i="26"/>
  <c r="Y140" i="26" s="1"/>
  <c r="AB135" i="26"/>
  <c r="AB140" i="26" s="1"/>
  <c r="AD135" i="26"/>
  <c r="AD140" i="26" s="1"/>
  <c r="AE135" i="26"/>
  <c r="AE140" i="26" s="1"/>
  <c r="K135" i="26"/>
  <c r="U135" i="26"/>
  <c r="U140" i="26" s="1"/>
  <c r="AA135" i="26"/>
  <c r="AA140" i="26" s="1"/>
  <c r="S135" i="26"/>
  <c r="S140" i="26" s="1"/>
  <c r="P134" i="26"/>
  <c r="P139" i="26" s="1"/>
  <c r="AE134" i="26"/>
  <c r="AE139" i="26" s="1"/>
  <c r="AD134" i="26"/>
  <c r="AD139" i="26" s="1"/>
  <c r="AF134" i="26"/>
  <c r="AF139" i="26" s="1"/>
  <c r="L134" i="26"/>
  <c r="L139" i="26" s="1"/>
  <c r="Y134" i="26"/>
  <c r="Y139" i="26" s="1"/>
  <c r="T134" i="26"/>
  <c r="T139" i="26" s="1"/>
  <c r="R134" i="26"/>
  <c r="R139" i="26" s="1"/>
  <c r="AA134" i="26"/>
  <c r="AA139" i="26" s="1"/>
  <c r="Z134" i="26"/>
  <c r="Z139" i="26" s="1"/>
  <c r="AB134" i="26"/>
  <c r="AB139" i="26" s="1"/>
  <c r="U134" i="26"/>
  <c r="U139" i="26" s="1"/>
  <c r="N134" i="26"/>
  <c r="N139" i="26" s="1"/>
  <c r="Q134" i="26"/>
  <c r="Q139" i="26" s="1"/>
  <c r="W134" i="26"/>
  <c r="W139" i="26" s="1"/>
  <c r="V134" i="26"/>
  <c r="V139" i="26" s="1"/>
  <c r="X134" i="26"/>
  <c r="X139" i="26" s="1"/>
  <c r="AG134" i="26"/>
  <c r="AG139" i="26" s="1"/>
  <c r="M134" i="26"/>
  <c r="M139" i="26" s="1"/>
  <c r="O134" i="26"/>
  <c r="O139" i="26" s="1"/>
  <c r="AC134" i="26"/>
  <c r="AC139" i="26" s="1"/>
  <c r="S134" i="26"/>
  <c r="S139" i="26" s="1"/>
  <c r="P137" i="26"/>
  <c r="P142" i="26" s="1"/>
  <c r="Q137" i="26"/>
  <c r="Q142" i="26" s="1"/>
  <c r="U137" i="26"/>
  <c r="U142" i="26" s="1"/>
  <c r="AB137" i="26"/>
  <c r="AB142" i="26" s="1"/>
  <c r="AD137" i="26"/>
  <c r="AD142" i="26" s="1"/>
  <c r="AE137" i="26"/>
  <c r="AE142" i="26" s="1"/>
  <c r="R137" i="26"/>
  <c r="R142" i="26" s="1"/>
  <c r="AG137" i="26"/>
  <c r="AG142" i="26" s="1"/>
  <c r="M137" i="26"/>
  <c r="M142" i="26" s="1"/>
  <c r="X137" i="26"/>
  <c r="X142" i="26" s="1"/>
  <c r="Z137" i="26"/>
  <c r="Z142" i="26" s="1"/>
  <c r="AA137" i="26"/>
  <c r="AA142" i="26" s="1"/>
  <c r="AF137" i="26"/>
  <c r="AF142" i="26" s="1"/>
  <c r="L137" i="26"/>
  <c r="L142" i="26" s="1"/>
  <c r="O137" i="26"/>
  <c r="O142" i="26" s="1"/>
  <c r="AC137" i="26"/>
  <c r="AC142" i="26" s="1"/>
  <c r="K137" i="26"/>
  <c r="G137" i="26" s="1"/>
  <c r="T137" i="26"/>
  <c r="T142" i="26" s="1"/>
  <c r="V137" i="26"/>
  <c r="V142" i="26" s="1"/>
  <c r="W137" i="26"/>
  <c r="W142" i="26" s="1"/>
  <c r="Y137" i="26"/>
  <c r="Y142" i="26" s="1"/>
  <c r="N137" i="26"/>
  <c r="N142" i="26" s="1"/>
  <c r="S137" i="26"/>
  <c r="S142" i="26" s="1"/>
  <c r="AE136" i="26"/>
  <c r="AE141" i="26" s="1"/>
  <c r="AD136" i="26"/>
  <c r="AD141" i="26" s="1"/>
  <c r="K136" i="26"/>
  <c r="T136" i="26"/>
  <c r="T141" i="26" s="1"/>
  <c r="Y136" i="26"/>
  <c r="Y141" i="26" s="1"/>
  <c r="Q136" i="26"/>
  <c r="Q141" i="26" s="1"/>
  <c r="P136" i="26"/>
  <c r="P141" i="26" s="1"/>
  <c r="O136" i="26"/>
  <c r="O141" i="26" s="1"/>
  <c r="AA136" i="26"/>
  <c r="AA141" i="26" s="1"/>
  <c r="Z136" i="26"/>
  <c r="Z141" i="26" s="1"/>
  <c r="AF136" i="26"/>
  <c r="AF141" i="26" s="1"/>
  <c r="L136" i="26"/>
  <c r="L141" i="26" s="1"/>
  <c r="U136" i="26"/>
  <c r="U141" i="26" s="1"/>
  <c r="W136" i="26"/>
  <c r="W141" i="26" s="1"/>
  <c r="V136" i="26"/>
  <c r="V141" i="26" s="1"/>
  <c r="AB136" i="26"/>
  <c r="AB141" i="26" s="1"/>
  <c r="AG136" i="26"/>
  <c r="AG141" i="26" s="1"/>
  <c r="M136" i="26"/>
  <c r="M141" i="26" s="1"/>
  <c r="N136" i="26"/>
  <c r="N141" i="26" s="1"/>
  <c r="X136" i="26"/>
  <c r="X141" i="26" s="1"/>
  <c r="AC136" i="26"/>
  <c r="AC141" i="26" s="1"/>
  <c r="R136" i="26"/>
  <c r="R141" i="26" s="1"/>
  <c r="S136" i="26"/>
  <c r="S141" i="26" s="1"/>
  <c r="I110" i="26"/>
  <c r="I107" i="26"/>
  <c r="I108" i="26"/>
  <c r="I109" i="26"/>
  <c r="I112" i="26"/>
  <c r="I95" i="26"/>
  <c r="I119" i="26"/>
  <c r="I123" i="26"/>
  <c r="I121" i="26"/>
  <c r="I120" i="26"/>
  <c r="J119" i="26"/>
  <c r="J125" i="26" s="1"/>
  <c r="J123" i="26"/>
  <c r="J129" i="26" s="1"/>
  <c r="J121" i="26"/>
  <c r="J127" i="26" s="1"/>
  <c r="J120" i="26"/>
  <c r="J126" i="26" s="1"/>
  <c r="K94" i="26"/>
  <c r="K95" i="26" s="1"/>
  <c r="K8" i="30" s="1"/>
  <c r="K117" i="26"/>
  <c r="K118" i="26" s="1"/>
  <c r="K123" i="26" s="1"/>
  <c r="K129" i="26" s="1"/>
  <c r="L47" i="26"/>
  <c r="L50" i="26" s="1"/>
  <c r="L59" i="26" s="1"/>
  <c r="K67" i="26"/>
  <c r="K100" i="26"/>
  <c r="K105" i="26" s="1"/>
  <c r="K112" i="26" s="1"/>
  <c r="K104" i="26"/>
  <c r="K110" i="26" s="1"/>
  <c r="K103" i="26"/>
  <c r="K109" i="26" s="1"/>
  <c r="K102" i="26"/>
  <c r="K108" i="26" s="1"/>
  <c r="K101" i="26"/>
  <c r="K107" i="26" s="1"/>
  <c r="J113" i="26"/>
  <c r="K69" i="26"/>
  <c r="L30" i="26"/>
  <c r="L33" i="26" s="1"/>
  <c r="I70" i="26"/>
  <c r="J70" i="26"/>
  <c r="J71" i="26" s="1"/>
  <c r="J6" i="30" s="1"/>
  <c r="M15" i="26"/>
  <c r="M16" i="26"/>
  <c r="M17" i="26"/>
  <c r="M48" i="26" s="1"/>
  <c r="M13" i="26"/>
  <c r="M18" i="26"/>
  <c r="M14" i="26"/>
  <c r="M31" i="26" s="1"/>
  <c r="K43" i="26"/>
  <c r="Q1" i="26"/>
  <c r="Q36" i="29" s="1"/>
  <c r="I5" i="30" l="1"/>
  <c r="K89" i="26"/>
  <c r="K90" i="26" s="1"/>
  <c r="K7" i="30" s="1"/>
  <c r="G135" i="26"/>
  <c r="D35" i="27" s="1"/>
  <c r="J44" i="26"/>
  <c r="K60" i="26"/>
  <c r="I8" i="30"/>
  <c r="I90" i="26"/>
  <c r="K139" i="26"/>
  <c r="G139" i="26" s="1"/>
  <c r="G134" i="26"/>
  <c r="G136" i="26"/>
  <c r="M93" i="26"/>
  <c r="L42" i="26"/>
  <c r="M33" i="28"/>
  <c r="M12" i="30" s="1"/>
  <c r="M68" i="26"/>
  <c r="M66" i="26"/>
  <c r="M99" i="26"/>
  <c r="S9" i="29"/>
  <c r="T8" i="29"/>
  <c r="J61" i="27"/>
  <c r="O28" i="28"/>
  <c r="O27" i="28"/>
  <c r="O29" i="28"/>
  <c r="P12" i="28"/>
  <c r="P23" i="28"/>
  <c r="Z15" i="28"/>
  <c r="Y26" i="28"/>
  <c r="N30" i="28"/>
  <c r="O143" i="26"/>
  <c r="O144" i="26" s="1"/>
  <c r="O11" i="30" s="1"/>
  <c r="U143" i="26"/>
  <c r="AA143" i="26"/>
  <c r="W14" i="28"/>
  <c r="V22" i="28"/>
  <c r="L143" i="26"/>
  <c r="L144" i="26" s="1"/>
  <c r="L11" i="30" s="1"/>
  <c r="K140" i="26"/>
  <c r="G140" i="26" s="1"/>
  <c r="E35" i="27" s="1"/>
  <c r="K142" i="26"/>
  <c r="D37" i="27"/>
  <c r="W143" i="26"/>
  <c r="D34" i="27"/>
  <c r="AF143" i="26"/>
  <c r="S143" i="26"/>
  <c r="AG143" i="26"/>
  <c r="Q143" i="26"/>
  <c r="AB143" i="26"/>
  <c r="T143" i="26"/>
  <c r="AD143" i="26"/>
  <c r="K141" i="26"/>
  <c r="D36" i="27"/>
  <c r="V143" i="26"/>
  <c r="P143" i="26"/>
  <c r="P144" i="26" s="1"/>
  <c r="P11" i="30" s="1"/>
  <c r="M143" i="26"/>
  <c r="M144" i="26" s="1"/>
  <c r="M11" i="30" s="1"/>
  <c r="R143" i="26"/>
  <c r="AC143" i="26"/>
  <c r="X143" i="26"/>
  <c r="N143" i="26"/>
  <c r="N144" i="26" s="1"/>
  <c r="N11" i="30" s="1"/>
  <c r="Z143" i="26"/>
  <c r="Y143" i="26"/>
  <c r="AE143" i="26"/>
  <c r="I126" i="26"/>
  <c r="I113" i="26"/>
  <c r="I114" i="26" s="1"/>
  <c r="I127" i="26"/>
  <c r="I129" i="26"/>
  <c r="I125" i="26"/>
  <c r="I71" i="26"/>
  <c r="J114" i="26"/>
  <c r="J9" i="30" s="1"/>
  <c r="K70" i="26"/>
  <c r="K71" i="26" s="1"/>
  <c r="K6" i="30" s="1"/>
  <c r="K119" i="26"/>
  <c r="K125" i="26" s="1"/>
  <c r="K120" i="26"/>
  <c r="K126" i="26" s="1"/>
  <c r="K121" i="26"/>
  <c r="K127" i="26" s="1"/>
  <c r="L94" i="26"/>
  <c r="L117" i="26"/>
  <c r="L118" i="26" s="1"/>
  <c r="J130" i="26"/>
  <c r="J131" i="26" s="1"/>
  <c r="J10" i="30" s="1"/>
  <c r="M47" i="26"/>
  <c r="M50" i="26" s="1"/>
  <c r="M59" i="26" s="1"/>
  <c r="L60" i="26"/>
  <c r="L61" i="26" s="1"/>
  <c r="K113" i="26"/>
  <c r="K114" i="26" s="1"/>
  <c r="K9" i="30" s="1"/>
  <c r="L100" i="26"/>
  <c r="L105" i="26" s="1"/>
  <c r="L112" i="26" s="1"/>
  <c r="L104" i="26"/>
  <c r="L103" i="26"/>
  <c r="L109" i="26" s="1"/>
  <c r="L102" i="26"/>
  <c r="L108" i="26" s="1"/>
  <c r="L101" i="26"/>
  <c r="M30" i="26"/>
  <c r="M33" i="26" s="1"/>
  <c r="L83" i="26"/>
  <c r="L67" i="26"/>
  <c r="L86" i="26"/>
  <c r="L69" i="26"/>
  <c r="K44" i="26"/>
  <c r="K4" i="30" s="1"/>
  <c r="N16" i="26"/>
  <c r="N17" i="26"/>
  <c r="N48" i="26" s="1"/>
  <c r="N18" i="26"/>
  <c r="N14" i="26"/>
  <c r="N31" i="26" s="1"/>
  <c r="N15" i="26"/>
  <c r="N13" i="26"/>
  <c r="R1" i="26"/>
  <c r="R36" i="29" s="1"/>
  <c r="L110" i="26" l="1"/>
  <c r="I7" i="30"/>
  <c r="L107" i="26"/>
  <c r="I9" i="30"/>
  <c r="G141" i="26"/>
  <c r="G143" i="26" s="1"/>
  <c r="E37" i="27"/>
  <c r="G142" i="26"/>
  <c r="L43" i="26"/>
  <c r="J4" i="30"/>
  <c r="J13" i="30" s="1"/>
  <c r="I6" i="30"/>
  <c r="K61" i="26"/>
  <c r="L84" i="26"/>
  <c r="L85" i="26"/>
  <c r="L87" i="26"/>
  <c r="L88" i="26"/>
  <c r="N99" i="26"/>
  <c r="N68" i="26"/>
  <c r="N66" i="26"/>
  <c r="M42" i="26"/>
  <c r="M43" i="26" s="1"/>
  <c r="M44" i="26" s="1"/>
  <c r="M4" i="30" s="1"/>
  <c r="N93" i="26"/>
  <c r="U8" i="29"/>
  <c r="T9" i="29"/>
  <c r="Q12" i="28"/>
  <c r="Q23" i="28"/>
  <c r="N31" i="28"/>
  <c r="N33" i="28" s="1"/>
  <c r="Z26" i="28"/>
  <c r="AA15" i="28"/>
  <c r="O30" i="28"/>
  <c r="O31" i="28" s="1"/>
  <c r="X14" i="28"/>
  <c r="W22" i="28"/>
  <c r="P27" i="28"/>
  <c r="P29" i="28"/>
  <c r="P28" i="28"/>
  <c r="K143" i="26"/>
  <c r="K144" i="26" s="1"/>
  <c r="E34" i="27"/>
  <c r="I130" i="26"/>
  <c r="I131" i="26" s="1"/>
  <c r="L95" i="26"/>
  <c r="Q144" i="26"/>
  <c r="Q11" i="30" s="1"/>
  <c r="M94" i="26"/>
  <c r="M95" i="26" s="1"/>
  <c r="M8" i="30" s="1"/>
  <c r="M117" i="26"/>
  <c r="M118" i="26" s="1"/>
  <c r="L120" i="26"/>
  <c r="L123" i="26"/>
  <c r="L119" i="26"/>
  <c r="L125" i="26" s="1"/>
  <c r="L121" i="26"/>
  <c r="L127" i="26" s="1"/>
  <c r="K130" i="26"/>
  <c r="K131" i="26" s="1"/>
  <c r="K10" i="30" s="1"/>
  <c r="N47" i="26"/>
  <c r="N50" i="26" s="1"/>
  <c r="N59" i="26" s="1"/>
  <c r="M60" i="26"/>
  <c r="L62" i="26"/>
  <c r="L5" i="30" s="1"/>
  <c r="L113" i="26"/>
  <c r="L114" i="26" s="1"/>
  <c r="L9" i="30" s="1"/>
  <c r="M100" i="26"/>
  <c r="M105" i="26" s="1"/>
  <c r="M104" i="26"/>
  <c r="M110" i="26" s="1"/>
  <c r="M103" i="26"/>
  <c r="M109" i="26" s="1"/>
  <c r="M102" i="26"/>
  <c r="M101" i="26"/>
  <c r="M107" i="26" s="1"/>
  <c r="L70" i="26"/>
  <c r="L71" i="26" s="1"/>
  <c r="L6" i="30" s="1"/>
  <c r="N30" i="26"/>
  <c r="N33" i="26" s="1"/>
  <c r="N42" i="26" s="1"/>
  <c r="M86" i="26"/>
  <c r="M69" i="26"/>
  <c r="M83" i="26"/>
  <c r="M67" i="26"/>
  <c r="O17" i="26"/>
  <c r="O48" i="26" s="1"/>
  <c r="O18" i="26"/>
  <c r="O15" i="26"/>
  <c r="O16" i="26"/>
  <c r="O13" i="26"/>
  <c r="O14" i="26"/>
  <c r="O31" i="26" s="1"/>
  <c r="S1" i="26"/>
  <c r="S36" i="29" s="1"/>
  <c r="K61" i="27"/>
  <c r="E36" i="27" l="1"/>
  <c r="E39" i="27" s="1"/>
  <c r="L8" i="30"/>
  <c r="M112" i="26"/>
  <c r="M108" i="26"/>
  <c r="L126" i="26"/>
  <c r="K11" i="30"/>
  <c r="L44" i="26"/>
  <c r="I10" i="30"/>
  <c r="I13" i="30" s="1"/>
  <c r="K62" i="26"/>
  <c r="L89" i="26"/>
  <c r="M84" i="26"/>
  <c r="M85" i="26"/>
  <c r="M87" i="26"/>
  <c r="M88" i="26"/>
  <c r="O93" i="26"/>
  <c r="M61" i="26"/>
  <c r="M62" i="26" s="1"/>
  <c r="M5" i="30" s="1"/>
  <c r="O68" i="26"/>
  <c r="O66" i="26"/>
  <c r="O99" i="26"/>
  <c r="O33" i="28"/>
  <c r="O12" i="30" s="1"/>
  <c r="V8" i="29"/>
  <c r="U9" i="29"/>
  <c r="R12" i="28"/>
  <c r="R23" i="28"/>
  <c r="AA26" i="28"/>
  <c r="AB15" i="28"/>
  <c r="X22" i="28"/>
  <c r="Y14" i="28"/>
  <c r="Q27" i="28"/>
  <c r="Q29" i="28"/>
  <c r="Q28" i="28"/>
  <c r="P30" i="28"/>
  <c r="P31" i="28" s="1"/>
  <c r="N12" i="30"/>
  <c r="L129" i="26"/>
  <c r="R144" i="26"/>
  <c r="R11" i="30" s="1"/>
  <c r="M121" i="26"/>
  <c r="M127" i="26" s="1"/>
  <c r="M119" i="26"/>
  <c r="M120" i="26"/>
  <c r="M126" i="26" s="1"/>
  <c r="M123" i="26"/>
  <c r="M129" i="26" s="1"/>
  <c r="N94" i="26"/>
  <c r="N95" i="26" s="1"/>
  <c r="N8" i="30" s="1"/>
  <c r="N117" i="26"/>
  <c r="N118" i="26" s="1"/>
  <c r="O47" i="26"/>
  <c r="O50" i="26" s="1"/>
  <c r="O59" i="26" s="1"/>
  <c r="N60" i="26"/>
  <c r="N100" i="26"/>
  <c r="N105" i="26" s="1"/>
  <c r="N112" i="26" s="1"/>
  <c r="N104" i="26"/>
  <c r="N103" i="26"/>
  <c r="N102" i="26"/>
  <c r="N108" i="26" s="1"/>
  <c r="N101" i="26"/>
  <c r="N107" i="26" s="1"/>
  <c r="M113" i="26"/>
  <c r="M114" i="26" s="1"/>
  <c r="M9" i="30" s="1"/>
  <c r="M70" i="26"/>
  <c r="M71" i="26" s="1"/>
  <c r="M6" i="30" s="1"/>
  <c r="O30" i="26"/>
  <c r="O33" i="26" s="1"/>
  <c r="N83" i="26"/>
  <c r="N67" i="26"/>
  <c r="N86" i="26"/>
  <c r="N69" i="26"/>
  <c r="P18" i="26"/>
  <c r="P14" i="26"/>
  <c r="P31" i="26" s="1"/>
  <c r="P15" i="26"/>
  <c r="P16" i="26"/>
  <c r="P13" i="26"/>
  <c r="P17" i="26"/>
  <c r="P48" i="26" s="1"/>
  <c r="N43" i="26"/>
  <c r="T1" i="26"/>
  <c r="T36" i="29" s="1"/>
  <c r="L61" i="27"/>
  <c r="L90" i="26" l="1"/>
  <c r="L7" i="30" s="1"/>
  <c r="M89" i="26"/>
  <c r="M90" i="26" s="1"/>
  <c r="M7" i="30" s="1"/>
  <c r="L4" i="30"/>
  <c r="K5" i="30"/>
  <c r="K13" i="30" s="1"/>
  <c r="L130" i="26"/>
  <c r="L131" i="26" s="1"/>
  <c r="N87" i="26"/>
  <c r="N88" i="26"/>
  <c r="N84" i="26"/>
  <c r="N85" i="26"/>
  <c r="P93" i="26"/>
  <c r="N61" i="26"/>
  <c r="N62" i="26" s="1"/>
  <c r="N5" i="30" s="1"/>
  <c r="O42" i="26"/>
  <c r="O43" i="26" s="1"/>
  <c r="P33" i="28"/>
  <c r="P12" i="30" s="1"/>
  <c r="P99" i="26"/>
  <c r="P68" i="26"/>
  <c r="P66" i="26"/>
  <c r="W8" i="29"/>
  <c r="V9" i="29"/>
  <c r="S12" i="28"/>
  <c r="S23" i="28"/>
  <c r="AB26" i="28"/>
  <c r="AC15" i="28"/>
  <c r="Q30" i="28"/>
  <c r="Q31" i="28" s="1"/>
  <c r="R28" i="28"/>
  <c r="R27" i="28"/>
  <c r="R29" i="28"/>
  <c r="Z14" i="28"/>
  <c r="Y22" i="28"/>
  <c r="N109" i="26"/>
  <c r="M125" i="26"/>
  <c r="N110" i="26"/>
  <c r="S144" i="26"/>
  <c r="N123" i="26"/>
  <c r="N129" i="26" s="1"/>
  <c r="N121" i="26"/>
  <c r="N120" i="26"/>
  <c r="N126" i="26" s="1"/>
  <c r="N119" i="26"/>
  <c r="O94" i="26"/>
  <c r="O95" i="26" s="1"/>
  <c r="O8" i="30" s="1"/>
  <c r="O117" i="26"/>
  <c r="O118" i="26" s="1"/>
  <c r="P47" i="26"/>
  <c r="P50" i="26" s="1"/>
  <c r="P59" i="26" s="1"/>
  <c r="O60" i="26"/>
  <c r="O100" i="26"/>
  <c r="O105" i="26" s="1"/>
  <c r="O112" i="26" s="1"/>
  <c r="O104" i="26"/>
  <c r="O110" i="26" s="1"/>
  <c r="O103" i="26"/>
  <c r="O109" i="26" s="1"/>
  <c r="O102" i="26"/>
  <c r="O101" i="26"/>
  <c r="O107" i="26" s="1"/>
  <c r="P30" i="26"/>
  <c r="P33" i="26" s="1"/>
  <c r="O83" i="26"/>
  <c r="O67" i="26"/>
  <c r="N70" i="26"/>
  <c r="O86" i="26"/>
  <c r="O69" i="26"/>
  <c r="N44" i="26"/>
  <c r="N4" i="30" s="1"/>
  <c r="Q15" i="26"/>
  <c r="Q16" i="26"/>
  <c r="Q17" i="26"/>
  <c r="Q48" i="26" s="1"/>
  <c r="Q13" i="26"/>
  <c r="Q18" i="26"/>
  <c r="Q14" i="26"/>
  <c r="Q31" i="26" s="1"/>
  <c r="U1" i="26"/>
  <c r="U36" i="29" s="1"/>
  <c r="M61" i="27"/>
  <c r="N125" i="26" l="1"/>
  <c r="O44" i="26"/>
  <c r="O4" i="30" s="1"/>
  <c r="O108" i="26"/>
  <c r="S11" i="30"/>
  <c r="L10" i="30"/>
  <c r="L13" i="30" s="1"/>
  <c r="N71" i="26"/>
  <c r="O84" i="26"/>
  <c r="O85" i="26"/>
  <c r="O87" i="26"/>
  <c r="O88" i="26"/>
  <c r="N89" i="26"/>
  <c r="O61" i="26"/>
  <c r="O62" i="26" s="1"/>
  <c r="O5" i="30" s="1"/>
  <c r="Q99" i="26"/>
  <c r="Q68" i="26"/>
  <c r="Q66" i="26"/>
  <c r="Q93" i="26"/>
  <c r="P42" i="26"/>
  <c r="P43" i="26" s="1"/>
  <c r="P44" i="26" s="1"/>
  <c r="P4" i="30" s="1"/>
  <c r="Q33" i="28"/>
  <c r="Q12" i="30" s="1"/>
  <c r="W9" i="29"/>
  <c r="X8" i="29"/>
  <c r="AA14" i="28"/>
  <c r="Z22" i="28"/>
  <c r="S28" i="28"/>
  <c r="S27" i="28"/>
  <c r="S29" i="28"/>
  <c r="R30" i="28"/>
  <c r="R31" i="28" s="1"/>
  <c r="T12" i="28"/>
  <c r="T23" i="28"/>
  <c r="AD15" i="28"/>
  <c r="AC26" i="28"/>
  <c r="N127" i="26"/>
  <c r="N130" i="26" s="1"/>
  <c r="N131" i="26" s="1"/>
  <c r="N10" i="30" s="1"/>
  <c r="M130" i="26"/>
  <c r="M131" i="26" s="1"/>
  <c r="M10" i="30" s="1"/>
  <c r="M13" i="30" s="1"/>
  <c r="N113" i="26"/>
  <c r="N114" i="26" s="1"/>
  <c r="T144" i="26"/>
  <c r="T11" i="30" s="1"/>
  <c r="O119" i="26"/>
  <c r="O125" i="26" s="1"/>
  <c r="O120" i="26"/>
  <c r="O123" i="26"/>
  <c r="O121" i="26"/>
  <c r="O127" i="26" s="1"/>
  <c r="P94" i="26"/>
  <c r="P117" i="26"/>
  <c r="P118" i="26" s="1"/>
  <c r="Q47" i="26"/>
  <c r="Q50" i="26" s="1"/>
  <c r="Q59" i="26" s="1"/>
  <c r="P60" i="26"/>
  <c r="P100" i="26"/>
  <c r="P105" i="26" s="1"/>
  <c r="P112" i="26" s="1"/>
  <c r="P104" i="26"/>
  <c r="P110" i="26" s="1"/>
  <c r="P103" i="26"/>
  <c r="P109" i="26" s="1"/>
  <c r="P102" i="26"/>
  <c r="P108" i="26" s="1"/>
  <c r="P101" i="26"/>
  <c r="P107" i="26" s="1"/>
  <c r="O113" i="26"/>
  <c r="O114" i="26" s="1"/>
  <c r="O9" i="30" s="1"/>
  <c r="O70" i="26"/>
  <c r="P86" i="26"/>
  <c r="P69" i="26"/>
  <c r="Q30" i="26"/>
  <c r="Q33" i="26" s="1"/>
  <c r="P83" i="26"/>
  <c r="P67" i="26"/>
  <c r="R16" i="26"/>
  <c r="R17" i="26"/>
  <c r="R48" i="26" s="1"/>
  <c r="R18" i="26"/>
  <c r="R14" i="26"/>
  <c r="R31" i="26" s="1"/>
  <c r="R15" i="26"/>
  <c r="R13" i="26"/>
  <c r="V1" i="26"/>
  <c r="V36" i="29" s="1"/>
  <c r="N61" i="27"/>
  <c r="N90" i="26" l="1"/>
  <c r="O126" i="26"/>
  <c r="N6" i="30"/>
  <c r="N9" i="30"/>
  <c r="P87" i="26"/>
  <c r="P88" i="26"/>
  <c r="O89" i="26"/>
  <c r="O90" i="26" s="1"/>
  <c r="O7" i="30" s="1"/>
  <c r="P84" i="26"/>
  <c r="P85" i="26"/>
  <c r="R93" i="26"/>
  <c r="P61" i="26"/>
  <c r="P62" i="26" s="1"/>
  <c r="P5" i="30" s="1"/>
  <c r="Q42" i="26"/>
  <c r="Q43" i="26" s="1"/>
  <c r="R68" i="26"/>
  <c r="R66" i="26"/>
  <c r="R99" i="26"/>
  <c r="R33" i="28"/>
  <c r="R12" i="30" s="1"/>
  <c r="Y8" i="29"/>
  <c r="X9" i="29"/>
  <c r="AD26" i="28"/>
  <c r="AE15" i="28"/>
  <c r="T27" i="28"/>
  <c r="T29" i="28"/>
  <c r="T28" i="28"/>
  <c r="U12" i="28"/>
  <c r="U23" i="28"/>
  <c r="S30" i="28"/>
  <c r="S31" i="28" s="1"/>
  <c r="AB14" i="28"/>
  <c r="AA22" i="28"/>
  <c r="O129" i="26"/>
  <c r="O130" i="26" s="1"/>
  <c r="O131" i="26" s="1"/>
  <c r="O10" i="30" s="1"/>
  <c r="P95" i="26"/>
  <c r="O71" i="26"/>
  <c r="O6" i="30" s="1"/>
  <c r="U144" i="26"/>
  <c r="U11" i="30" s="1"/>
  <c r="P120" i="26"/>
  <c r="P126" i="26" s="1"/>
  <c r="P123" i="26"/>
  <c r="P129" i="26" s="1"/>
  <c r="P119" i="26"/>
  <c r="P125" i="26" s="1"/>
  <c r="P121" i="26"/>
  <c r="Q94" i="26"/>
  <c r="Q95" i="26" s="1"/>
  <c r="Q8" i="30" s="1"/>
  <c r="Q117" i="26"/>
  <c r="Q118" i="26" s="1"/>
  <c r="R47" i="26"/>
  <c r="R50" i="26" s="1"/>
  <c r="R59" i="26" s="1"/>
  <c r="Q60" i="26"/>
  <c r="Q100" i="26"/>
  <c r="Q105" i="26" s="1"/>
  <c r="Q112" i="26" s="1"/>
  <c r="Q104" i="26"/>
  <c r="Q110" i="26" s="1"/>
  <c r="Q103" i="26"/>
  <c r="Q109" i="26" s="1"/>
  <c r="Q102" i="26"/>
  <c r="Q108" i="26" s="1"/>
  <c r="Q101" i="26"/>
  <c r="Q107" i="26" s="1"/>
  <c r="P113" i="26"/>
  <c r="P114" i="26" s="1"/>
  <c r="P9" i="30" s="1"/>
  <c r="Q86" i="26"/>
  <c r="Q69" i="26"/>
  <c r="P70" i="26"/>
  <c r="P71" i="26" s="1"/>
  <c r="P6" i="30" s="1"/>
  <c r="R30" i="26"/>
  <c r="R33" i="26" s="1"/>
  <c r="Q83" i="26"/>
  <c r="Q67" i="26"/>
  <c r="S17" i="26"/>
  <c r="S48" i="26" s="1"/>
  <c r="S18" i="26"/>
  <c r="S15" i="26"/>
  <c r="S16" i="26"/>
  <c r="S14" i="26"/>
  <c r="S31" i="26" s="1"/>
  <c r="S13" i="26"/>
  <c r="W1" i="26"/>
  <c r="W36" i="29" s="1"/>
  <c r="O61" i="27"/>
  <c r="P8" i="30" l="1"/>
  <c r="Q44" i="26"/>
  <c r="Q4" i="30" s="1"/>
  <c r="N7" i="30"/>
  <c r="N13" i="30" s="1"/>
  <c r="Q84" i="26"/>
  <c r="Q85" i="26"/>
  <c r="Q87" i="26"/>
  <c r="Q88" i="26"/>
  <c r="P89" i="26"/>
  <c r="P90" i="26" s="1"/>
  <c r="P7" i="30" s="1"/>
  <c r="Q61" i="26"/>
  <c r="Q62" i="26" s="1"/>
  <c r="Q5" i="30" s="1"/>
  <c r="S33" i="28"/>
  <c r="S12" i="30" s="1"/>
  <c r="S93" i="26"/>
  <c r="R43" i="26"/>
  <c r="R44" i="26" s="1"/>
  <c r="R4" i="30" s="1"/>
  <c r="R42" i="26"/>
  <c r="S99" i="26"/>
  <c r="S68" i="26"/>
  <c r="S66" i="26"/>
  <c r="O13" i="30"/>
  <c r="Z8" i="29"/>
  <c r="Y9" i="29"/>
  <c r="V12" i="28"/>
  <c r="V23" i="28"/>
  <c r="AB22" i="28"/>
  <c r="AC14" i="28"/>
  <c r="T30" i="28"/>
  <c r="T31" i="28" s="1"/>
  <c r="U27" i="28"/>
  <c r="U29" i="28"/>
  <c r="U28" i="28"/>
  <c r="AE26" i="28"/>
  <c r="AF15" i="28"/>
  <c r="P127" i="26"/>
  <c r="P130" i="26" s="1"/>
  <c r="P131" i="26" s="1"/>
  <c r="V144" i="26"/>
  <c r="V11" i="30" s="1"/>
  <c r="Q121" i="26"/>
  <c r="Q127" i="26" s="1"/>
  <c r="Q123" i="26"/>
  <c r="Q129" i="26" s="1"/>
  <c r="Q119" i="26"/>
  <c r="Q125" i="26" s="1"/>
  <c r="Q120" i="26"/>
  <c r="Q126" i="26" s="1"/>
  <c r="R94" i="26"/>
  <c r="R95" i="26" s="1"/>
  <c r="R8" i="30" s="1"/>
  <c r="R117" i="26"/>
  <c r="R118" i="26" s="1"/>
  <c r="S47" i="26"/>
  <c r="S50" i="26" s="1"/>
  <c r="S59" i="26" s="1"/>
  <c r="R60" i="26"/>
  <c r="R100" i="26"/>
  <c r="R105" i="26" s="1"/>
  <c r="R112" i="26" s="1"/>
  <c r="R104" i="26"/>
  <c r="R110" i="26" s="1"/>
  <c r="R103" i="26"/>
  <c r="R109" i="26" s="1"/>
  <c r="R102" i="26"/>
  <c r="R108" i="26" s="1"/>
  <c r="R101" i="26"/>
  <c r="R107" i="26" s="1"/>
  <c r="Q113" i="26"/>
  <c r="Q114" i="26" s="1"/>
  <c r="Q9" i="30" s="1"/>
  <c r="Q70" i="26"/>
  <c r="Q71" i="26" s="1"/>
  <c r="Q6" i="30" s="1"/>
  <c r="R86" i="26"/>
  <c r="R69" i="26"/>
  <c r="S30" i="26"/>
  <c r="S33" i="26" s="1"/>
  <c r="R83" i="26"/>
  <c r="R67" i="26"/>
  <c r="T18" i="26"/>
  <c r="T14" i="26"/>
  <c r="T31" i="26" s="1"/>
  <c r="T15" i="26"/>
  <c r="T16" i="26"/>
  <c r="T13" i="26"/>
  <c r="T17" i="26"/>
  <c r="T48" i="26" s="1"/>
  <c r="X1" i="26"/>
  <c r="X36" i="29" s="1"/>
  <c r="P61" i="27"/>
  <c r="P10" i="30" l="1"/>
  <c r="P13" i="30" s="1"/>
  <c r="R87" i="26"/>
  <c r="R88" i="26"/>
  <c r="Q89" i="26"/>
  <c r="Q90" i="26" s="1"/>
  <c r="R84" i="26"/>
  <c r="R85" i="26"/>
  <c r="R61" i="26"/>
  <c r="R62" i="26" s="1"/>
  <c r="R5" i="30" s="1"/>
  <c r="T68" i="26"/>
  <c r="T99" i="26"/>
  <c r="T66" i="26"/>
  <c r="S42" i="26"/>
  <c r="S43" i="26" s="1"/>
  <c r="S44" i="26" s="1"/>
  <c r="S4" i="30" s="1"/>
  <c r="T93" i="26"/>
  <c r="T12" i="30"/>
  <c r="T33" i="28"/>
  <c r="Z9" i="29"/>
  <c r="AA8" i="29"/>
  <c r="AD14" i="28"/>
  <c r="AC22" i="28"/>
  <c r="W12" i="28"/>
  <c r="W23" i="28"/>
  <c r="AF26" i="28"/>
  <c r="AG15" i="28"/>
  <c r="AH15" i="28" s="1"/>
  <c r="AH26" i="28" s="1"/>
  <c r="U30" i="28"/>
  <c r="U31" i="28" s="1"/>
  <c r="V28" i="28"/>
  <c r="V27" i="28"/>
  <c r="V29" i="28"/>
  <c r="W144" i="26"/>
  <c r="W11" i="30" s="1"/>
  <c r="R123" i="26"/>
  <c r="R129" i="26" s="1"/>
  <c r="R121" i="26"/>
  <c r="R127" i="26" s="1"/>
  <c r="R120" i="26"/>
  <c r="R126" i="26" s="1"/>
  <c r="R119" i="26"/>
  <c r="R125" i="26" s="1"/>
  <c r="Q130" i="26"/>
  <c r="Q131" i="26" s="1"/>
  <c r="Q10" i="30" s="1"/>
  <c r="S94" i="26"/>
  <c r="S95" i="26" s="1"/>
  <c r="S8" i="30" s="1"/>
  <c r="S117" i="26"/>
  <c r="S118" i="26" s="1"/>
  <c r="T47" i="26"/>
  <c r="T50" i="26" s="1"/>
  <c r="T59" i="26" s="1"/>
  <c r="S60" i="26"/>
  <c r="S100" i="26"/>
  <c r="S105" i="26" s="1"/>
  <c r="S112" i="26" s="1"/>
  <c r="S104" i="26"/>
  <c r="S110" i="26" s="1"/>
  <c r="S103" i="26"/>
  <c r="S109" i="26" s="1"/>
  <c r="S102" i="26"/>
  <c r="S108" i="26" s="1"/>
  <c r="S101" i="26"/>
  <c r="S107" i="26" s="1"/>
  <c r="R113" i="26"/>
  <c r="R114" i="26" s="1"/>
  <c r="R9" i="30" s="1"/>
  <c r="S83" i="26"/>
  <c r="S67" i="26"/>
  <c r="T30" i="26"/>
  <c r="T33" i="26" s="1"/>
  <c r="S86" i="26"/>
  <c r="S69" i="26"/>
  <c r="R70" i="26"/>
  <c r="R71" i="26" s="1"/>
  <c r="R6" i="30" s="1"/>
  <c r="U15" i="26"/>
  <c r="U16" i="26"/>
  <c r="U17" i="26"/>
  <c r="U48" i="26" s="1"/>
  <c r="U18" i="26"/>
  <c r="U14" i="26"/>
  <c r="U31" i="26" s="1"/>
  <c r="U13" i="26"/>
  <c r="Y1" i="26"/>
  <c r="Y36" i="29" s="1"/>
  <c r="Q61" i="27"/>
  <c r="Q7" i="30" l="1"/>
  <c r="Q13" i="30"/>
  <c r="S84" i="26"/>
  <c r="S85" i="26"/>
  <c r="S87" i="26"/>
  <c r="S88" i="26"/>
  <c r="R89" i="26"/>
  <c r="R90" i="26" s="1"/>
  <c r="R7" i="30" s="1"/>
  <c r="S61" i="26"/>
  <c r="S62" i="26" s="1"/>
  <c r="S5" i="30" s="1"/>
  <c r="U93" i="26"/>
  <c r="T42" i="26"/>
  <c r="T43" i="26" s="1"/>
  <c r="T44" i="26" s="1"/>
  <c r="T4" i="30" s="1"/>
  <c r="U33" i="28"/>
  <c r="U12" i="30" s="1"/>
  <c r="U68" i="26"/>
  <c r="U66" i="26"/>
  <c r="U99" i="26"/>
  <c r="AA9" i="29"/>
  <c r="AB8" i="29"/>
  <c r="V30" i="28"/>
  <c r="V31" i="28" s="1"/>
  <c r="X12" i="28"/>
  <c r="X23" i="28"/>
  <c r="AG26" i="28"/>
  <c r="G15" i="28"/>
  <c r="W28" i="28"/>
  <c r="W29" i="28"/>
  <c r="W27" i="28"/>
  <c r="AE14" i="28"/>
  <c r="AD22" i="28"/>
  <c r="X144" i="26"/>
  <c r="X11" i="30" s="1"/>
  <c r="R130" i="26"/>
  <c r="R131" i="26" s="1"/>
  <c r="R10" i="30" s="1"/>
  <c r="S119" i="26"/>
  <c r="S125" i="26" s="1"/>
  <c r="S121" i="26"/>
  <c r="S127" i="26" s="1"/>
  <c r="S120" i="26"/>
  <c r="S126" i="26" s="1"/>
  <c r="S123" i="26"/>
  <c r="S129" i="26" s="1"/>
  <c r="T94" i="26"/>
  <c r="T95" i="26" s="1"/>
  <c r="T8" i="30" s="1"/>
  <c r="T117" i="26"/>
  <c r="T118" i="26" s="1"/>
  <c r="U47" i="26"/>
  <c r="U50" i="26" s="1"/>
  <c r="U59" i="26" s="1"/>
  <c r="T60" i="26"/>
  <c r="T100" i="26"/>
  <c r="T105" i="26" s="1"/>
  <c r="T112" i="26" s="1"/>
  <c r="T104" i="26"/>
  <c r="T110" i="26" s="1"/>
  <c r="T103" i="26"/>
  <c r="T109" i="26" s="1"/>
  <c r="T102" i="26"/>
  <c r="T108" i="26" s="1"/>
  <c r="T101" i="26"/>
  <c r="T107" i="26" s="1"/>
  <c r="S113" i="26"/>
  <c r="S114" i="26" s="1"/>
  <c r="S9" i="30" s="1"/>
  <c r="S70" i="26"/>
  <c r="S71" i="26" s="1"/>
  <c r="S6" i="30" s="1"/>
  <c r="T83" i="26"/>
  <c r="T67" i="26"/>
  <c r="U30" i="26"/>
  <c r="U33" i="26" s="1"/>
  <c r="T86" i="26"/>
  <c r="T69" i="26"/>
  <c r="V16" i="26"/>
  <c r="V17" i="26"/>
  <c r="V48" i="26" s="1"/>
  <c r="V18" i="26"/>
  <c r="V14" i="26"/>
  <c r="V31" i="26" s="1"/>
  <c r="V15" i="26"/>
  <c r="V13" i="26"/>
  <c r="Z1" i="26"/>
  <c r="Z36" i="29" s="1"/>
  <c r="R61" i="27"/>
  <c r="T87" i="26" l="1"/>
  <c r="T88" i="26"/>
  <c r="R13" i="30"/>
  <c r="S89" i="26"/>
  <c r="S90" i="26" s="1"/>
  <c r="S7" i="30" s="1"/>
  <c r="T84" i="26"/>
  <c r="T85" i="26"/>
  <c r="T61" i="26"/>
  <c r="T62" i="26" s="1"/>
  <c r="T5" i="30" s="1"/>
  <c r="V33" i="28"/>
  <c r="V12" i="30" s="1"/>
  <c r="U42" i="26"/>
  <c r="U43" i="26" s="1"/>
  <c r="U44" i="26" s="1"/>
  <c r="U4" i="30" s="1"/>
  <c r="V93" i="26"/>
  <c r="V68" i="26"/>
  <c r="V66" i="26"/>
  <c r="V99" i="26"/>
  <c r="W30" i="28"/>
  <c r="W31" i="28" s="1"/>
  <c r="AC8" i="29"/>
  <c r="AB9" i="29"/>
  <c r="Y12" i="28"/>
  <c r="Y23" i="28"/>
  <c r="G26" i="28"/>
  <c r="AF14" i="28"/>
  <c r="AE22" i="28"/>
  <c r="X27" i="28"/>
  <c r="X29" i="28"/>
  <c r="X28" i="28"/>
  <c r="Y144" i="26"/>
  <c r="Y11" i="30" s="1"/>
  <c r="U94" i="26"/>
  <c r="U95" i="26" s="1"/>
  <c r="U8" i="30" s="1"/>
  <c r="U117" i="26"/>
  <c r="U118" i="26" s="1"/>
  <c r="T120" i="26"/>
  <c r="T126" i="26" s="1"/>
  <c r="T121" i="26"/>
  <c r="T127" i="26" s="1"/>
  <c r="T123" i="26"/>
  <c r="T129" i="26" s="1"/>
  <c r="T119" i="26"/>
  <c r="T125" i="26" s="1"/>
  <c r="S130" i="26"/>
  <c r="S131" i="26" s="1"/>
  <c r="S10" i="30" s="1"/>
  <c r="S13" i="30" s="1"/>
  <c r="V47" i="26"/>
  <c r="V50" i="26" s="1"/>
  <c r="V59" i="26" s="1"/>
  <c r="U60" i="26"/>
  <c r="U100" i="26"/>
  <c r="U105" i="26" s="1"/>
  <c r="U112" i="26" s="1"/>
  <c r="U104" i="26"/>
  <c r="U110" i="26" s="1"/>
  <c r="U103" i="26"/>
  <c r="U109" i="26" s="1"/>
  <c r="U102" i="26"/>
  <c r="U108" i="26" s="1"/>
  <c r="U101" i="26"/>
  <c r="U107" i="26" s="1"/>
  <c r="T113" i="26"/>
  <c r="T114" i="26" s="1"/>
  <c r="T9" i="30" s="1"/>
  <c r="T70" i="26"/>
  <c r="T71" i="26" s="1"/>
  <c r="T6" i="30" s="1"/>
  <c r="U83" i="26"/>
  <c r="U67" i="26"/>
  <c r="V30" i="26"/>
  <c r="V33" i="26" s="1"/>
  <c r="U86" i="26"/>
  <c r="U69" i="26"/>
  <c r="W17" i="26"/>
  <c r="W48" i="26" s="1"/>
  <c r="W18" i="26"/>
  <c r="W15" i="26"/>
  <c r="W13" i="26"/>
  <c r="W16" i="26"/>
  <c r="W14" i="26"/>
  <c r="W31" i="26" s="1"/>
  <c r="AA1" i="26"/>
  <c r="AA36" i="29" s="1"/>
  <c r="S61" i="27"/>
  <c r="U84" i="26" l="1"/>
  <c r="U85" i="26"/>
  <c r="U87" i="26"/>
  <c r="U88" i="26"/>
  <c r="T89" i="26"/>
  <c r="T90" i="26" s="1"/>
  <c r="T7" i="30" s="1"/>
  <c r="W93" i="26"/>
  <c r="U61" i="26"/>
  <c r="U62" i="26" s="1"/>
  <c r="U5" i="30" s="1"/>
  <c r="W66" i="26"/>
  <c r="W99" i="26"/>
  <c r="W68" i="26"/>
  <c r="W33" i="28"/>
  <c r="W12" i="30" s="1"/>
  <c r="V42" i="26"/>
  <c r="V43" i="26" s="1"/>
  <c r="V44" i="26" s="1"/>
  <c r="V4" i="30" s="1"/>
  <c r="AD8" i="29"/>
  <c r="AC9" i="29"/>
  <c r="X30" i="28"/>
  <c r="X31" i="28" s="1"/>
  <c r="Y27" i="28"/>
  <c r="Y29" i="28"/>
  <c r="Y28" i="28"/>
  <c r="Z12" i="28"/>
  <c r="Z23" i="28"/>
  <c r="AG14" i="28"/>
  <c r="AH14" i="28" s="1"/>
  <c r="AH22" i="28" s="1"/>
  <c r="AF22" i="28"/>
  <c r="Z144" i="26"/>
  <c r="Z11" i="30" s="1"/>
  <c r="T130" i="26"/>
  <c r="T131" i="26" s="1"/>
  <c r="T10" i="30" s="1"/>
  <c r="T13" i="30" s="1"/>
  <c r="U121" i="26"/>
  <c r="U127" i="26" s="1"/>
  <c r="U120" i="26"/>
  <c r="U126" i="26" s="1"/>
  <c r="U123" i="26"/>
  <c r="U129" i="26" s="1"/>
  <c r="U119" i="26"/>
  <c r="U125" i="26" s="1"/>
  <c r="V94" i="26"/>
  <c r="V95" i="26" s="1"/>
  <c r="V8" i="30" s="1"/>
  <c r="V117" i="26"/>
  <c r="V118" i="26" s="1"/>
  <c r="W47" i="26"/>
  <c r="W50" i="26" s="1"/>
  <c r="V60" i="26"/>
  <c r="V100" i="26"/>
  <c r="V105" i="26" s="1"/>
  <c r="V112" i="26" s="1"/>
  <c r="V104" i="26"/>
  <c r="V110" i="26" s="1"/>
  <c r="V103" i="26"/>
  <c r="V109" i="26" s="1"/>
  <c r="V102" i="26"/>
  <c r="V108" i="26" s="1"/>
  <c r="V101" i="26"/>
  <c r="V107" i="26" s="1"/>
  <c r="U113" i="26"/>
  <c r="U114" i="26" s="1"/>
  <c r="U9" i="30" s="1"/>
  <c r="U70" i="26"/>
  <c r="U71" i="26" s="1"/>
  <c r="U6" i="30" s="1"/>
  <c r="V86" i="26"/>
  <c r="V69" i="26"/>
  <c r="W30" i="26"/>
  <c r="W33" i="26" s="1"/>
  <c r="V83" i="26"/>
  <c r="V67" i="26"/>
  <c r="X18" i="26"/>
  <c r="X14" i="26"/>
  <c r="X31" i="26" s="1"/>
  <c r="X15" i="26"/>
  <c r="X16" i="26"/>
  <c r="X13" i="26"/>
  <c r="X17" i="26"/>
  <c r="X48" i="26" s="1"/>
  <c r="AB1" i="26"/>
  <c r="AB36" i="29" s="1"/>
  <c r="T61" i="27"/>
  <c r="U89" i="26" l="1"/>
  <c r="U90" i="26" s="1"/>
  <c r="U7" i="30" s="1"/>
  <c r="V87" i="26"/>
  <c r="V88" i="26"/>
  <c r="V84" i="26"/>
  <c r="V85" i="26"/>
  <c r="V61" i="26"/>
  <c r="V62" i="26" s="1"/>
  <c r="V5" i="30" s="1"/>
  <c r="W42" i="26"/>
  <c r="W43" i="26" s="1"/>
  <c r="W44" i="26" s="1"/>
  <c r="W4" i="30" s="1"/>
  <c r="X68" i="26"/>
  <c r="X99" i="26"/>
  <c r="X66" i="26"/>
  <c r="W59" i="26"/>
  <c r="W60" i="26" s="1"/>
  <c r="X33" i="28"/>
  <c r="X12" i="30" s="1"/>
  <c r="X93" i="26"/>
  <c r="AE8" i="29"/>
  <c r="AD9" i="29"/>
  <c r="Y30" i="28"/>
  <c r="Y31" i="28" s="1"/>
  <c r="AA12" i="28"/>
  <c r="AA23" i="28"/>
  <c r="AG22" i="28"/>
  <c r="G14" i="28"/>
  <c r="Z28" i="28"/>
  <c r="Z27" i="28"/>
  <c r="Z29" i="28"/>
  <c r="D51" i="27"/>
  <c r="E45" i="27"/>
  <c r="AA144" i="26"/>
  <c r="AA11" i="30" s="1"/>
  <c r="V123" i="26"/>
  <c r="V129" i="26" s="1"/>
  <c r="V119" i="26"/>
  <c r="V125" i="26" s="1"/>
  <c r="V120" i="26"/>
  <c r="V126" i="26" s="1"/>
  <c r="V121" i="26"/>
  <c r="V127" i="26" s="1"/>
  <c r="W94" i="26"/>
  <c r="W95" i="26" s="1"/>
  <c r="W8" i="30" s="1"/>
  <c r="W117" i="26"/>
  <c r="W118" i="26" s="1"/>
  <c r="U130" i="26"/>
  <c r="U131" i="26" s="1"/>
  <c r="U10" i="30" s="1"/>
  <c r="U13" i="30" s="1"/>
  <c r="X47" i="26"/>
  <c r="X50" i="26" s="1"/>
  <c r="X59" i="26" s="1"/>
  <c r="W100" i="26"/>
  <c r="W105" i="26" s="1"/>
  <c r="W112" i="26" s="1"/>
  <c r="W104" i="26"/>
  <c r="W110" i="26" s="1"/>
  <c r="W103" i="26"/>
  <c r="W109" i="26" s="1"/>
  <c r="W102" i="26"/>
  <c r="W108" i="26" s="1"/>
  <c r="W101" i="26"/>
  <c r="W107" i="26" s="1"/>
  <c r="V113" i="26"/>
  <c r="V114" i="26" s="1"/>
  <c r="V9" i="30" s="1"/>
  <c r="W86" i="26"/>
  <c r="W69" i="26"/>
  <c r="V70" i="26"/>
  <c r="V71" i="26" s="1"/>
  <c r="V6" i="30" s="1"/>
  <c r="X30" i="26"/>
  <c r="X33" i="26" s="1"/>
  <c r="W83" i="26"/>
  <c r="W67" i="26"/>
  <c r="Y15" i="26"/>
  <c r="Y16" i="26"/>
  <c r="Y17" i="26"/>
  <c r="Y48" i="26" s="1"/>
  <c r="Y13" i="26"/>
  <c r="Y14" i="26"/>
  <c r="Y31" i="26" s="1"/>
  <c r="Y18" i="26"/>
  <c r="AC1" i="26"/>
  <c r="AC36" i="29" s="1"/>
  <c r="U61" i="27"/>
  <c r="W84" i="26" l="1"/>
  <c r="W85" i="26"/>
  <c r="V89" i="26"/>
  <c r="V90" i="26" s="1"/>
  <c r="V7" i="30" s="1"/>
  <c r="W87" i="26"/>
  <c r="W88" i="26"/>
  <c r="Y93" i="26"/>
  <c r="W61" i="26"/>
  <c r="W62" i="26" s="1"/>
  <c r="W5" i="30" s="1"/>
  <c r="X42" i="26"/>
  <c r="X43" i="26" s="1"/>
  <c r="X44" i="26" s="1"/>
  <c r="X4" i="30" s="1"/>
  <c r="Y33" i="28"/>
  <c r="Y12" i="30" s="1"/>
  <c r="Y68" i="26"/>
  <c r="Y99" i="26"/>
  <c r="Y66" i="26"/>
  <c r="AE9" i="29"/>
  <c r="AF8" i="29"/>
  <c r="G22" i="28"/>
  <c r="AA28" i="28"/>
  <c r="AA27" i="28"/>
  <c r="AA29" i="28"/>
  <c r="Z30" i="28"/>
  <c r="Z31" i="28" s="1"/>
  <c r="AB12" i="28"/>
  <c r="AB23" i="28"/>
  <c r="AB144" i="26"/>
  <c r="AB11" i="30" s="1"/>
  <c r="W119" i="26"/>
  <c r="W125" i="26" s="1"/>
  <c r="W123" i="26"/>
  <c r="W129" i="26" s="1"/>
  <c r="W121" i="26"/>
  <c r="W127" i="26" s="1"/>
  <c r="W120" i="26"/>
  <c r="W126" i="26" s="1"/>
  <c r="V130" i="26"/>
  <c r="V131" i="26" s="1"/>
  <c r="V10" i="30" s="1"/>
  <c r="V13" i="30" s="1"/>
  <c r="X94" i="26"/>
  <c r="X95" i="26" s="1"/>
  <c r="X8" i="30" s="1"/>
  <c r="X117" i="26"/>
  <c r="X118" i="26" s="1"/>
  <c r="Y47" i="26"/>
  <c r="Y50" i="26" s="1"/>
  <c r="Y59" i="26" s="1"/>
  <c r="X60" i="26"/>
  <c r="X100" i="26"/>
  <c r="X105" i="26" s="1"/>
  <c r="X112" i="26" s="1"/>
  <c r="X104" i="26"/>
  <c r="X110" i="26" s="1"/>
  <c r="X103" i="26"/>
  <c r="X109" i="26" s="1"/>
  <c r="X102" i="26"/>
  <c r="X108" i="26" s="1"/>
  <c r="X101" i="26"/>
  <c r="X107" i="26" s="1"/>
  <c r="W113" i="26"/>
  <c r="W114" i="26" s="1"/>
  <c r="W9" i="30" s="1"/>
  <c r="W70" i="26"/>
  <c r="W71" i="26" s="1"/>
  <c r="W6" i="30" s="1"/>
  <c r="X83" i="26"/>
  <c r="X67" i="26"/>
  <c r="Y30" i="26"/>
  <c r="Y33" i="26" s="1"/>
  <c r="X86" i="26"/>
  <c r="X69" i="26"/>
  <c r="Z16" i="26"/>
  <c r="Z17" i="26"/>
  <c r="Z48" i="26" s="1"/>
  <c r="Z18" i="26"/>
  <c r="Z14" i="26"/>
  <c r="Z31" i="26" s="1"/>
  <c r="Z15" i="26"/>
  <c r="Z13" i="26"/>
  <c r="AD1" i="26"/>
  <c r="AD36" i="29" s="1"/>
  <c r="V61" i="27"/>
  <c r="W89" i="26" l="1"/>
  <c r="W90" i="26" s="1"/>
  <c r="W7" i="30" s="1"/>
  <c r="X84" i="26"/>
  <c r="X85" i="26"/>
  <c r="X87" i="26"/>
  <c r="X88" i="26"/>
  <c r="X61" i="26"/>
  <c r="X62" i="26" s="1"/>
  <c r="X5" i="30" s="1"/>
  <c r="Z33" i="28"/>
  <c r="Z12" i="30" s="1"/>
  <c r="Z66" i="26"/>
  <c r="Z99" i="26"/>
  <c r="Z68" i="26"/>
  <c r="Y42" i="26"/>
  <c r="Y43" i="26" s="1"/>
  <c r="Y44" i="26" s="1"/>
  <c r="Y4" i="30" s="1"/>
  <c r="Z93" i="26"/>
  <c r="AG8" i="29"/>
  <c r="AF9" i="29"/>
  <c r="AA30" i="28"/>
  <c r="AA31" i="28" s="1"/>
  <c r="AC12" i="28"/>
  <c r="AC23" i="28"/>
  <c r="AB27" i="28"/>
  <c r="AB29" i="28"/>
  <c r="AB28" i="28"/>
  <c r="AC144" i="26"/>
  <c r="AC11" i="30" s="1"/>
  <c r="X120" i="26"/>
  <c r="X126" i="26" s="1"/>
  <c r="X121" i="26"/>
  <c r="X127" i="26" s="1"/>
  <c r="X119" i="26"/>
  <c r="X125" i="26" s="1"/>
  <c r="X123" i="26"/>
  <c r="X129" i="26" s="1"/>
  <c r="Y94" i="26"/>
  <c r="Y95" i="26" s="1"/>
  <c r="Y8" i="30" s="1"/>
  <c r="Y117" i="26"/>
  <c r="Y118" i="26" s="1"/>
  <c r="W130" i="26"/>
  <c r="W131" i="26" s="1"/>
  <c r="W10" i="30" s="1"/>
  <c r="W13" i="30" s="1"/>
  <c r="Z47" i="26"/>
  <c r="Z50" i="26" s="1"/>
  <c r="Z59" i="26" s="1"/>
  <c r="Y60" i="26"/>
  <c r="Y100" i="26"/>
  <c r="Y105" i="26" s="1"/>
  <c r="Y112" i="26" s="1"/>
  <c r="Y104" i="26"/>
  <c r="Y110" i="26" s="1"/>
  <c r="Y103" i="26"/>
  <c r="Y109" i="26" s="1"/>
  <c r="Y102" i="26"/>
  <c r="Y108" i="26" s="1"/>
  <c r="Y101" i="26"/>
  <c r="Y107" i="26" s="1"/>
  <c r="X113" i="26"/>
  <c r="X114" i="26" s="1"/>
  <c r="X9" i="30" s="1"/>
  <c r="X70" i="26"/>
  <c r="X71" i="26" s="1"/>
  <c r="X6" i="30" s="1"/>
  <c r="Z30" i="26"/>
  <c r="Z33" i="26" s="1"/>
  <c r="Y86" i="26"/>
  <c r="Y69" i="26"/>
  <c r="Y83" i="26"/>
  <c r="Y67" i="26"/>
  <c r="AA17" i="26"/>
  <c r="AA48" i="26" s="1"/>
  <c r="AA18" i="26"/>
  <c r="AA15" i="26"/>
  <c r="AA14" i="26"/>
  <c r="AA31" i="26" s="1"/>
  <c r="AA13" i="26"/>
  <c r="AA16" i="26"/>
  <c r="AA93" i="26" s="1"/>
  <c r="AE1" i="26"/>
  <c r="AE36" i="29" s="1"/>
  <c r="W61" i="27"/>
  <c r="AG9" i="29" l="1"/>
  <c r="AH8" i="29"/>
  <c r="X89" i="26"/>
  <c r="X90" i="26" s="1"/>
  <c r="X7" i="30" s="1"/>
  <c r="Y87" i="26"/>
  <c r="Y88" i="26"/>
  <c r="Y84" i="26"/>
  <c r="Y85" i="26"/>
  <c r="Y61" i="26"/>
  <c r="Y62" i="26" s="1"/>
  <c r="Y5" i="30" s="1"/>
  <c r="AA99" i="26"/>
  <c r="AA68" i="26"/>
  <c r="AA66" i="26"/>
  <c r="AA33" i="28"/>
  <c r="AA12" i="30" s="1"/>
  <c r="Z42" i="26"/>
  <c r="Z43" i="26" s="1"/>
  <c r="Z44" i="26" s="1"/>
  <c r="Z4" i="30" s="1"/>
  <c r="AI9" i="29"/>
  <c r="AC27" i="28"/>
  <c r="AC29" i="28"/>
  <c r="AC28" i="28"/>
  <c r="AB30" i="28"/>
  <c r="AB31" i="28" s="1"/>
  <c r="AD12" i="28"/>
  <c r="AD23" i="28"/>
  <c r="E44" i="27"/>
  <c r="E55" i="27" s="1"/>
  <c r="AD144" i="26"/>
  <c r="AD11" i="30" s="1"/>
  <c r="X130" i="26"/>
  <c r="X131" i="26" s="1"/>
  <c r="X10" i="30" s="1"/>
  <c r="X13" i="30" s="1"/>
  <c r="Y121" i="26"/>
  <c r="Y127" i="26" s="1"/>
  <c r="Y120" i="26"/>
  <c r="Y126" i="26" s="1"/>
  <c r="Y123" i="26"/>
  <c r="Y129" i="26" s="1"/>
  <c r="Y119" i="26"/>
  <c r="Y125" i="26" s="1"/>
  <c r="Z94" i="26"/>
  <c r="Z95" i="26" s="1"/>
  <c r="Z8" i="30" s="1"/>
  <c r="Z117" i="26"/>
  <c r="Z118" i="26" s="1"/>
  <c r="AA47" i="26"/>
  <c r="AA50" i="26" s="1"/>
  <c r="AA59" i="26" s="1"/>
  <c r="Z60" i="26"/>
  <c r="Z100" i="26"/>
  <c r="Z105" i="26" s="1"/>
  <c r="Z112" i="26" s="1"/>
  <c r="Z104" i="26"/>
  <c r="Z110" i="26" s="1"/>
  <c r="Z103" i="26"/>
  <c r="Z109" i="26" s="1"/>
  <c r="Z102" i="26"/>
  <c r="Z108" i="26" s="1"/>
  <c r="Z101" i="26"/>
  <c r="Z107" i="26" s="1"/>
  <c r="Y113" i="26"/>
  <c r="Y114" i="26" s="1"/>
  <c r="Y9" i="30" s="1"/>
  <c r="Z86" i="26"/>
  <c r="Z69" i="26"/>
  <c r="Y70" i="26"/>
  <c r="Y71" i="26" s="1"/>
  <c r="Y6" i="30" s="1"/>
  <c r="Z83" i="26"/>
  <c r="Z67" i="26"/>
  <c r="AA30" i="26"/>
  <c r="AA33" i="26" s="1"/>
  <c r="AB18" i="26"/>
  <c r="AB14" i="26"/>
  <c r="AB31" i="26" s="1"/>
  <c r="AB15" i="26"/>
  <c r="AB16" i="26"/>
  <c r="AB17" i="26"/>
  <c r="AB48" i="26" s="1"/>
  <c r="AB13" i="26"/>
  <c r="AF1" i="26"/>
  <c r="AF36" i="29" s="1"/>
  <c r="X61" i="27"/>
  <c r="AH27" i="28" l="1"/>
  <c r="AH28" i="28"/>
  <c r="AH29" i="28"/>
  <c r="AH9" i="29"/>
  <c r="Z84" i="26"/>
  <c r="Z85" i="26"/>
  <c r="Y89" i="26"/>
  <c r="Y90" i="26" s="1"/>
  <c r="Y7" i="30" s="1"/>
  <c r="Z87" i="26"/>
  <c r="Z89" i="26" s="1"/>
  <c r="Z90" i="26" s="1"/>
  <c r="Z7" i="30" s="1"/>
  <c r="Z88" i="26"/>
  <c r="Z61" i="26"/>
  <c r="Z62" i="26" s="1"/>
  <c r="Z5" i="30" s="1"/>
  <c r="AB33" i="28"/>
  <c r="AB12" i="30" s="1"/>
  <c r="AA42" i="26"/>
  <c r="AA43" i="26" s="1"/>
  <c r="AA44" i="26" s="1"/>
  <c r="AA4" i="30" s="1"/>
  <c r="AB93" i="26"/>
  <c r="AB68" i="26"/>
  <c r="AB66" i="26"/>
  <c r="AB99" i="26"/>
  <c r="AC30" i="28"/>
  <c r="AC31" i="28" s="1"/>
  <c r="AE12" i="28"/>
  <c r="AE23" i="28"/>
  <c r="AD28" i="28"/>
  <c r="AD27" i="28"/>
  <c r="AD29" i="28"/>
  <c r="AE144" i="26"/>
  <c r="AE11" i="30" s="1"/>
  <c r="Z123" i="26"/>
  <c r="Z129" i="26" s="1"/>
  <c r="Z120" i="26"/>
  <c r="Z126" i="26" s="1"/>
  <c r="Z119" i="26"/>
  <c r="Z125" i="26" s="1"/>
  <c r="Z121" i="26"/>
  <c r="Z127" i="26" s="1"/>
  <c r="AA94" i="26"/>
  <c r="AA95" i="26" s="1"/>
  <c r="AA8" i="30" s="1"/>
  <c r="AA117" i="26"/>
  <c r="AA118" i="26" s="1"/>
  <c r="Y130" i="26"/>
  <c r="Y131" i="26" s="1"/>
  <c r="Y10" i="30" s="1"/>
  <c r="Y13" i="30" s="1"/>
  <c r="AB47" i="26"/>
  <c r="AB50" i="26" s="1"/>
  <c r="AB59" i="26" s="1"/>
  <c r="AA60" i="26"/>
  <c r="AA100" i="26"/>
  <c r="AA105" i="26" s="1"/>
  <c r="AA112" i="26" s="1"/>
  <c r="AA104" i="26"/>
  <c r="AA110" i="26" s="1"/>
  <c r="AA103" i="26"/>
  <c r="AA109" i="26" s="1"/>
  <c r="AA102" i="26"/>
  <c r="AA108" i="26" s="1"/>
  <c r="AA101" i="26"/>
  <c r="AA107" i="26" s="1"/>
  <c r="Z113" i="26"/>
  <c r="Z114" i="26" s="1"/>
  <c r="Z9" i="30" s="1"/>
  <c r="AA83" i="26"/>
  <c r="AA67" i="26"/>
  <c r="Z70" i="26"/>
  <c r="Z71" i="26" s="1"/>
  <c r="Z6" i="30" s="1"/>
  <c r="AB30" i="26"/>
  <c r="AB33" i="26" s="1"/>
  <c r="AA86" i="26"/>
  <c r="AA69" i="26"/>
  <c r="AC15" i="26"/>
  <c r="AC16" i="26"/>
  <c r="AC17" i="26"/>
  <c r="AC48" i="26" s="1"/>
  <c r="AC14" i="26"/>
  <c r="AC31" i="26" s="1"/>
  <c r="AC13" i="26"/>
  <c r="AC18" i="26"/>
  <c r="AG1" i="26"/>
  <c r="Y61" i="27"/>
  <c r="AH18" i="26" l="1"/>
  <c r="AH17" i="26"/>
  <c r="AH48" i="26" s="1"/>
  <c r="AH15" i="26"/>
  <c r="AH14" i="26"/>
  <c r="AH31" i="26" s="1"/>
  <c r="AH16" i="26"/>
  <c r="AH13" i="26"/>
  <c r="AG36" i="29"/>
  <c r="AG144" i="26" s="1"/>
  <c r="AG11" i="30" s="1"/>
  <c r="AH1" i="26"/>
  <c r="AH36" i="29" s="1"/>
  <c r="AH30" i="28"/>
  <c r="AA87" i="26"/>
  <c r="AA88" i="26"/>
  <c r="AA84" i="26"/>
  <c r="AA85" i="26"/>
  <c r="AC93" i="26"/>
  <c r="AA61" i="26"/>
  <c r="AA62" i="26" s="1"/>
  <c r="AA5" i="30" s="1"/>
  <c r="AC68" i="26"/>
  <c r="AC99" i="26"/>
  <c r="AC66" i="26"/>
  <c r="AB42" i="26"/>
  <c r="AB43" i="26" s="1"/>
  <c r="AB44" i="26" s="1"/>
  <c r="AB4" i="30" s="1"/>
  <c r="AC33" i="28"/>
  <c r="AC12" i="30" s="1"/>
  <c r="AD30" i="28"/>
  <c r="AD31" i="28" s="1"/>
  <c r="AE28" i="28"/>
  <c r="AE27" i="28"/>
  <c r="AE29" i="28"/>
  <c r="AF12" i="28"/>
  <c r="AF23" i="28"/>
  <c r="AF144" i="26"/>
  <c r="AF11" i="30" s="1"/>
  <c r="Z130" i="26"/>
  <c r="Z131" i="26" s="1"/>
  <c r="Z10" i="30" s="1"/>
  <c r="Z13" i="30" s="1"/>
  <c r="AA119" i="26"/>
  <c r="AA125" i="26" s="1"/>
  <c r="AA123" i="26"/>
  <c r="AA129" i="26" s="1"/>
  <c r="AA121" i="26"/>
  <c r="AA127" i="26" s="1"/>
  <c r="AA120" i="26"/>
  <c r="AA126" i="26" s="1"/>
  <c r="AB94" i="26"/>
  <c r="AB95" i="26" s="1"/>
  <c r="AB8" i="30" s="1"/>
  <c r="AB117" i="26"/>
  <c r="AB118" i="26" s="1"/>
  <c r="AC47" i="26"/>
  <c r="AC50" i="26" s="1"/>
  <c r="AC59" i="26" s="1"/>
  <c r="AB60" i="26"/>
  <c r="AB100" i="26"/>
  <c r="AB105" i="26" s="1"/>
  <c r="AB112" i="26" s="1"/>
  <c r="AB104" i="26"/>
  <c r="AB110" i="26" s="1"/>
  <c r="AB103" i="26"/>
  <c r="AB109" i="26" s="1"/>
  <c r="AB102" i="26"/>
  <c r="AB108" i="26" s="1"/>
  <c r="AB101" i="26"/>
  <c r="AB107" i="26" s="1"/>
  <c r="AA113" i="26"/>
  <c r="AA114" i="26" s="1"/>
  <c r="AA9" i="30" s="1"/>
  <c r="AA70" i="26"/>
  <c r="AA71" i="26" s="1"/>
  <c r="AA6" i="30" s="1"/>
  <c r="AB86" i="26"/>
  <c r="AB69" i="26"/>
  <c r="AB83" i="26"/>
  <c r="AB67" i="26"/>
  <c r="AC30" i="26"/>
  <c r="AC33" i="26" s="1"/>
  <c r="AD16" i="26"/>
  <c r="AD17" i="26"/>
  <c r="AD48" i="26" s="1"/>
  <c r="AD18" i="26"/>
  <c r="AD14" i="26"/>
  <c r="AD31" i="26" s="1"/>
  <c r="AD13" i="26"/>
  <c r="AD15" i="26"/>
  <c r="Z61" i="27"/>
  <c r="AH30" i="26" l="1"/>
  <c r="AH68" i="26"/>
  <c r="AH99" i="26"/>
  <c r="AH66" i="26"/>
  <c r="AH33" i="26"/>
  <c r="AH42" i="26" s="1"/>
  <c r="AG23" i="28"/>
  <c r="AG12" i="28"/>
  <c r="G12" i="28" s="1"/>
  <c r="AH12" i="28"/>
  <c r="AH144" i="26"/>
  <c r="AH23" i="28"/>
  <c r="AH47" i="26"/>
  <c r="AH50" i="26" s="1"/>
  <c r="AH59" i="26" s="1"/>
  <c r="AH93" i="26"/>
  <c r="AH31" i="28"/>
  <c r="AH33" i="28" s="1"/>
  <c r="AH12" i="30" s="1"/>
  <c r="AB87" i="26"/>
  <c r="AB88" i="26"/>
  <c r="AB84" i="26"/>
  <c r="AB85" i="26"/>
  <c r="AA89" i="26"/>
  <c r="AA90" i="26" s="1"/>
  <c r="AA7" i="30" s="1"/>
  <c r="AB61" i="26"/>
  <c r="AB62" i="26" s="1"/>
  <c r="AB5" i="30" s="1"/>
  <c r="AC42" i="26"/>
  <c r="AC43" i="26" s="1"/>
  <c r="AC44" i="26" s="1"/>
  <c r="AC4" i="30" s="1"/>
  <c r="AD99" i="26"/>
  <c r="AD68" i="26"/>
  <c r="AD66" i="26"/>
  <c r="AD93" i="26"/>
  <c r="AD33" i="28"/>
  <c r="AD12" i="30" s="1"/>
  <c r="AE30" i="28"/>
  <c r="AE31" i="28" s="1"/>
  <c r="G23" i="28"/>
  <c r="AF27" i="28"/>
  <c r="AF29" i="28"/>
  <c r="AF28" i="28"/>
  <c r="AB120" i="26"/>
  <c r="AB126" i="26" s="1"/>
  <c r="AB123" i="26"/>
  <c r="AB129" i="26" s="1"/>
  <c r="AB119" i="26"/>
  <c r="AB125" i="26" s="1"/>
  <c r="AB121" i="26"/>
  <c r="AB127" i="26" s="1"/>
  <c r="AA130" i="26"/>
  <c r="AA131" i="26" s="1"/>
  <c r="AA10" i="30" s="1"/>
  <c r="AA13" i="30" s="1"/>
  <c r="AC94" i="26"/>
  <c r="AC95" i="26" s="1"/>
  <c r="AC8" i="30" s="1"/>
  <c r="AC117" i="26"/>
  <c r="AC118" i="26" s="1"/>
  <c r="AD47" i="26"/>
  <c r="AD50" i="26" s="1"/>
  <c r="AD59" i="26" s="1"/>
  <c r="AC60" i="26"/>
  <c r="AB113" i="26"/>
  <c r="AB114" i="26" s="1"/>
  <c r="AB9" i="30" s="1"/>
  <c r="AC100" i="26"/>
  <c r="AC105" i="26" s="1"/>
  <c r="AC112" i="26" s="1"/>
  <c r="AC104" i="26"/>
  <c r="AC110" i="26" s="1"/>
  <c r="AC103" i="26"/>
  <c r="AC109" i="26" s="1"/>
  <c r="AC102" i="26"/>
  <c r="AC108" i="26" s="1"/>
  <c r="AC101" i="26"/>
  <c r="AC107" i="26" s="1"/>
  <c r="AC86" i="26"/>
  <c r="AC69" i="26"/>
  <c r="AC83" i="26"/>
  <c r="AC67" i="26"/>
  <c r="AB70" i="26"/>
  <c r="AB71" i="26" s="1"/>
  <c r="AB6" i="30" s="1"/>
  <c r="AD30" i="26"/>
  <c r="AD33" i="26" s="1"/>
  <c r="AE17" i="26"/>
  <c r="AE48" i="26" s="1"/>
  <c r="AE13" i="26"/>
  <c r="AE18" i="26"/>
  <c r="AE15" i="26"/>
  <c r="AE16" i="26"/>
  <c r="AE14" i="26"/>
  <c r="AE31" i="26" s="1"/>
  <c r="AA61" i="27"/>
  <c r="AH117" i="26" l="1"/>
  <c r="AH118" i="26" s="1"/>
  <c r="AH94" i="26"/>
  <c r="AH67" i="26"/>
  <c r="AH83" i="26"/>
  <c r="AH60" i="26"/>
  <c r="AH100" i="26"/>
  <c r="AH105" i="26" s="1"/>
  <c r="AH103" i="26"/>
  <c r="AH101" i="26"/>
  <c r="AH104" i="26"/>
  <c r="AH102" i="26"/>
  <c r="AH86" i="26"/>
  <c r="AH69" i="26"/>
  <c r="AH70" i="26" s="1"/>
  <c r="AH43" i="26"/>
  <c r="AH11" i="30"/>
  <c r="G144" i="26"/>
  <c r="AC87" i="26"/>
  <c r="AC88" i="26"/>
  <c r="AC84" i="26"/>
  <c r="AC85" i="26"/>
  <c r="AB89" i="26"/>
  <c r="AB90" i="26" s="1"/>
  <c r="AB7" i="30" s="1"/>
  <c r="AC61" i="26"/>
  <c r="AC62" i="26" s="1"/>
  <c r="AC5" i="30" s="1"/>
  <c r="AD42" i="26"/>
  <c r="AD43" i="26" s="1"/>
  <c r="AD44" i="26" s="1"/>
  <c r="AD4" i="30" s="1"/>
  <c r="AE33" i="28"/>
  <c r="AE12" i="30" s="1"/>
  <c r="AE93" i="26"/>
  <c r="AE99" i="26"/>
  <c r="AE66" i="26"/>
  <c r="AE68" i="26"/>
  <c r="G11" i="30"/>
  <c r="AF30" i="28"/>
  <c r="AF31" i="28" s="1"/>
  <c r="AG27" i="28"/>
  <c r="AG29" i="28"/>
  <c r="G29" i="28" s="1"/>
  <c r="D54" i="27" s="1"/>
  <c r="AG28" i="28"/>
  <c r="G28" i="28" s="1"/>
  <c r="D53" i="27" s="1"/>
  <c r="E56" i="27"/>
  <c r="E40" i="27"/>
  <c r="AG17" i="26"/>
  <c r="AG48" i="26" s="1"/>
  <c r="AC121" i="26"/>
  <c r="AC127" i="26" s="1"/>
  <c r="AC120" i="26"/>
  <c r="AC126" i="26" s="1"/>
  <c r="AC123" i="26"/>
  <c r="AC129" i="26" s="1"/>
  <c r="AC119" i="26"/>
  <c r="AC125" i="26" s="1"/>
  <c r="AB130" i="26"/>
  <c r="AB131" i="26" s="1"/>
  <c r="AB10" i="30" s="1"/>
  <c r="AD94" i="26"/>
  <c r="AD95" i="26" s="1"/>
  <c r="AD8" i="30" s="1"/>
  <c r="AD117" i="26"/>
  <c r="AD118" i="26" s="1"/>
  <c r="AE47" i="26"/>
  <c r="AE50" i="26" s="1"/>
  <c r="AD60" i="26"/>
  <c r="AD100" i="26"/>
  <c r="AD105" i="26" s="1"/>
  <c r="AD112" i="26" s="1"/>
  <c r="AD104" i="26"/>
  <c r="AD110" i="26" s="1"/>
  <c r="AD103" i="26"/>
  <c r="AD109" i="26" s="1"/>
  <c r="AD102" i="26"/>
  <c r="AD108" i="26" s="1"/>
  <c r="AD101" i="26"/>
  <c r="AD107" i="26" s="1"/>
  <c r="AC113" i="26"/>
  <c r="AC114" i="26" s="1"/>
  <c r="AC9" i="30" s="1"/>
  <c r="AE30" i="26"/>
  <c r="AE33" i="26" s="1"/>
  <c r="AD86" i="26"/>
  <c r="AD69" i="26"/>
  <c r="AC70" i="26"/>
  <c r="AC71" i="26" s="1"/>
  <c r="AC6" i="30" s="1"/>
  <c r="AD83" i="26"/>
  <c r="AD67" i="26"/>
  <c r="AF18" i="26"/>
  <c r="AF14" i="26"/>
  <c r="AF31" i="26" s="1"/>
  <c r="AF15" i="26"/>
  <c r="AF16" i="26"/>
  <c r="AF13" i="26"/>
  <c r="AF17" i="26"/>
  <c r="AF48" i="26" s="1"/>
  <c r="AH44" i="26" l="1"/>
  <c r="AH112" i="26"/>
  <c r="AH88" i="26"/>
  <c r="AH87" i="26"/>
  <c r="AH85" i="26"/>
  <c r="AH84" i="26"/>
  <c r="AH109" i="26"/>
  <c r="AH71" i="26"/>
  <c r="AH108" i="26"/>
  <c r="AB13" i="30"/>
  <c r="AH110" i="26"/>
  <c r="AH95" i="26"/>
  <c r="AH61" i="26"/>
  <c r="AH107" i="26"/>
  <c r="AH121" i="26"/>
  <c r="AH120" i="26"/>
  <c r="AH119" i="26"/>
  <c r="AH123" i="26"/>
  <c r="AD84" i="26"/>
  <c r="AD85" i="26"/>
  <c r="AD87" i="26"/>
  <c r="AD88" i="26"/>
  <c r="AC89" i="26"/>
  <c r="AC90" i="26" s="1"/>
  <c r="AC7" i="30" s="1"/>
  <c r="AD61" i="26"/>
  <c r="AD62" i="26" s="1"/>
  <c r="AD5" i="30" s="1"/>
  <c r="AE42" i="26"/>
  <c r="AE43" i="26" s="1"/>
  <c r="AE44" i="26" s="1"/>
  <c r="AE4" i="30" s="1"/>
  <c r="AF33" i="28"/>
  <c r="AF12" i="30" s="1"/>
  <c r="AF99" i="26"/>
  <c r="AF68" i="26"/>
  <c r="AF66" i="26"/>
  <c r="AF93" i="26"/>
  <c r="AE59" i="26"/>
  <c r="G27" i="28"/>
  <c r="D52" i="27" s="1"/>
  <c r="D55" i="27" s="1"/>
  <c r="AG30" i="28"/>
  <c r="AB61" i="27"/>
  <c r="AG14" i="26"/>
  <c r="AG31" i="26" s="1"/>
  <c r="AG16" i="26"/>
  <c r="AG18" i="26"/>
  <c r="AG15" i="26"/>
  <c r="AG13" i="26"/>
  <c r="AC130" i="26"/>
  <c r="AC131" i="26" s="1"/>
  <c r="AC10" i="30" s="1"/>
  <c r="AC13" i="30" s="1"/>
  <c r="AD123" i="26"/>
  <c r="AD129" i="26" s="1"/>
  <c r="AD121" i="26"/>
  <c r="AD127" i="26" s="1"/>
  <c r="AD120" i="26"/>
  <c r="AD126" i="26" s="1"/>
  <c r="AD119" i="26"/>
  <c r="AD125" i="26" s="1"/>
  <c r="AE94" i="26"/>
  <c r="AE95" i="26" s="1"/>
  <c r="AE8" i="30" s="1"/>
  <c r="AE117" i="26"/>
  <c r="AE118" i="26" s="1"/>
  <c r="AF47" i="26"/>
  <c r="AF50" i="26" s="1"/>
  <c r="AF59" i="26" s="1"/>
  <c r="AE100" i="26"/>
  <c r="AE105" i="26" s="1"/>
  <c r="AE112" i="26" s="1"/>
  <c r="AE104" i="26"/>
  <c r="AE110" i="26" s="1"/>
  <c r="AE103" i="26"/>
  <c r="AE109" i="26" s="1"/>
  <c r="AE102" i="26"/>
  <c r="AE108" i="26" s="1"/>
  <c r="AE101" i="26"/>
  <c r="AE107" i="26" s="1"/>
  <c r="AD113" i="26"/>
  <c r="AD114" i="26" s="1"/>
  <c r="AD9" i="30" s="1"/>
  <c r="AD70" i="26"/>
  <c r="AD71" i="26" s="1"/>
  <c r="AD6" i="30" s="1"/>
  <c r="AF30" i="26"/>
  <c r="AF33" i="26" s="1"/>
  <c r="AE83" i="26"/>
  <c r="AE67" i="26"/>
  <c r="AE86" i="26"/>
  <c r="AE69" i="26"/>
  <c r="AH113" i="26" l="1"/>
  <c r="AH114" i="26" s="1"/>
  <c r="AH89" i="26"/>
  <c r="AH62" i="26"/>
  <c r="AH129" i="26"/>
  <c r="AH6" i="30"/>
  <c r="AH125" i="26"/>
  <c r="AH8" i="30"/>
  <c r="AH126" i="26"/>
  <c r="AE60" i="26"/>
  <c r="AH127" i="26"/>
  <c r="AH4" i="30"/>
  <c r="AE87" i="26"/>
  <c r="AE88" i="26"/>
  <c r="AD89" i="26"/>
  <c r="AD90" i="26" s="1"/>
  <c r="AD7" i="30" s="1"/>
  <c r="AE84" i="26"/>
  <c r="AE85" i="26"/>
  <c r="AE61" i="26"/>
  <c r="AE62" i="26" s="1"/>
  <c r="AE5" i="30" s="1"/>
  <c r="AG47" i="26"/>
  <c r="AG50" i="26" s="1"/>
  <c r="AG59" i="26" s="1"/>
  <c r="AG60" i="26" s="1"/>
  <c r="AG61" i="26" s="1"/>
  <c r="AG93" i="26"/>
  <c r="AG30" i="26"/>
  <c r="AG33" i="26" s="1"/>
  <c r="AG42" i="26" s="1"/>
  <c r="AG66" i="26"/>
  <c r="AG83" i="26" s="1"/>
  <c r="AG68" i="26"/>
  <c r="AG86" i="26" s="1"/>
  <c r="AG99" i="26"/>
  <c r="AG103" i="26" s="1"/>
  <c r="G103" i="26" s="1"/>
  <c r="AF42" i="26"/>
  <c r="AG31" i="28"/>
  <c r="AG33" i="28" s="1"/>
  <c r="G30" i="28"/>
  <c r="AG94" i="26"/>
  <c r="AD130" i="26"/>
  <c r="AD131" i="26" s="1"/>
  <c r="AD10" i="30" s="1"/>
  <c r="AF94" i="26"/>
  <c r="AF95" i="26" s="1"/>
  <c r="AF8" i="30" s="1"/>
  <c r="AF117" i="26"/>
  <c r="AF118" i="26" s="1"/>
  <c r="AE119" i="26"/>
  <c r="AE125" i="26" s="1"/>
  <c r="AE120" i="26"/>
  <c r="AE126" i="26" s="1"/>
  <c r="AE123" i="26"/>
  <c r="AE129" i="26" s="1"/>
  <c r="AE121" i="26"/>
  <c r="AE127" i="26" s="1"/>
  <c r="AF60" i="26"/>
  <c r="AE113" i="26"/>
  <c r="AE114" i="26" s="1"/>
  <c r="AE9" i="30" s="1"/>
  <c r="AF100" i="26"/>
  <c r="AF105" i="26" s="1"/>
  <c r="AF112" i="26" s="1"/>
  <c r="AF104" i="26"/>
  <c r="AF110" i="26" s="1"/>
  <c r="AF103" i="26"/>
  <c r="AF109" i="26" s="1"/>
  <c r="AF102" i="26"/>
  <c r="AF108" i="26" s="1"/>
  <c r="AF101" i="26"/>
  <c r="AE70" i="26"/>
  <c r="AE71" i="26" s="1"/>
  <c r="AE6" i="30" s="1"/>
  <c r="AF86" i="26"/>
  <c r="AF69" i="26"/>
  <c r="AF83" i="26"/>
  <c r="AF67" i="26"/>
  <c r="AG43" i="26"/>
  <c r="AF107" i="26" l="1"/>
  <c r="G107" i="26" s="1"/>
  <c r="G101" i="26"/>
  <c r="AH130" i="26"/>
  <c r="AH131" i="26" s="1"/>
  <c r="AH5" i="30"/>
  <c r="G59" i="26"/>
  <c r="G102" i="26"/>
  <c r="AD13" i="30"/>
  <c r="G60" i="26"/>
  <c r="G42" i="26"/>
  <c r="I3" i="27" s="1"/>
  <c r="G94" i="26"/>
  <c r="AH90" i="26"/>
  <c r="AH9" i="30"/>
  <c r="AG87" i="26"/>
  <c r="AG88" i="26"/>
  <c r="AF87" i="26"/>
  <c r="AF88" i="26"/>
  <c r="AF84" i="26"/>
  <c r="AF85" i="26"/>
  <c r="AG84" i="26"/>
  <c r="AG85" i="26"/>
  <c r="AG101" i="26"/>
  <c r="AE89" i="26"/>
  <c r="AE90" i="26" s="1"/>
  <c r="AE7" i="30" s="1"/>
  <c r="AF61" i="26"/>
  <c r="AF62" i="26" s="1"/>
  <c r="AF5" i="30" s="1"/>
  <c r="AF43" i="26"/>
  <c r="G31" i="28"/>
  <c r="G33" i="28" s="1"/>
  <c r="AG12" i="30"/>
  <c r="AG67" i="26"/>
  <c r="AG95" i="26"/>
  <c r="G95" i="26" s="1"/>
  <c r="AG107" i="26"/>
  <c r="AG109" i="26"/>
  <c r="AG104" i="26"/>
  <c r="G104" i="26" s="1"/>
  <c r="AG100" i="26"/>
  <c r="AG105" i="26" s="1"/>
  <c r="G105" i="26" s="1"/>
  <c r="AG117" i="26"/>
  <c r="AG118" i="26" s="1"/>
  <c r="AG121" i="26" s="1"/>
  <c r="G121" i="26" s="1"/>
  <c r="AG102" i="26"/>
  <c r="AG69" i="26"/>
  <c r="AF120" i="26"/>
  <c r="AF123" i="26"/>
  <c r="AF129" i="26" s="1"/>
  <c r="AF119" i="26"/>
  <c r="AF125" i="26" s="1"/>
  <c r="AF121" i="26"/>
  <c r="AF127" i="26" s="1"/>
  <c r="AE130" i="26"/>
  <c r="AE131" i="26" s="1"/>
  <c r="AE10" i="30" s="1"/>
  <c r="AE13" i="30" s="1"/>
  <c r="I7" i="27"/>
  <c r="J7" i="27" s="1"/>
  <c r="AG62" i="26"/>
  <c r="AF113" i="26"/>
  <c r="AF114" i="26" s="1"/>
  <c r="AF9" i="30" s="1"/>
  <c r="AF70" i="26"/>
  <c r="AF71" i="26" s="1"/>
  <c r="AF6" i="30" s="1"/>
  <c r="AG44" i="26"/>
  <c r="G61" i="26" l="1"/>
  <c r="I8" i="27" s="1"/>
  <c r="G62" i="26"/>
  <c r="AF44" i="26"/>
  <c r="G43" i="26"/>
  <c r="I4" i="27" s="1"/>
  <c r="AF126" i="26"/>
  <c r="AH10" i="30"/>
  <c r="E16" i="27"/>
  <c r="G109" i="26"/>
  <c r="AH7" i="30"/>
  <c r="AH13" i="30" s="1"/>
  <c r="AF89" i="26"/>
  <c r="AG89" i="26"/>
  <c r="AG90" i="26" s="1"/>
  <c r="AG5" i="30"/>
  <c r="G8" i="30"/>
  <c r="AG8" i="30"/>
  <c r="AG4" i="30"/>
  <c r="AG70" i="26"/>
  <c r="G70" i="26" s="1"/>
  <c r="G12" i="30"/>
  <c r="D56" i="27"/>
  <c r="E57" i="27" s="1"/>
  <c r="D14" i="27"/>
  <c r="AG110" i="26"/>
  <c r="E14" i="27"/>
  <c r="AG108" i="26"/>
  <c r="G108" i="26" s="1"/>
  <c r="D16" i="27"/>
  <c r="AG112" i="26"/>
  <c r="AG127" i="26"/>
  <c r="D26" i="27"/>
  <c r="AG120" i="26"/>
  <c r="G120" i="26" s="1"/>
  <c r="AG123" i="26"/>
  <c r="G123" i="26" s="1"/>
  <c r="AG119" i="26"/>
  <c r="G119" i="26" s="1"/>
  <c r="AF130" i="26"/>
  <c r="AF131" i="26" s="1"/>
  <c r="AF10" i="30" s="1"/>
  <c r="G110" i="26" l="1"/>
  <c r="E17" i="27" s="1"/>
  <c r="AF4" i="30"/>
  <c r="G44" i="26"/>
  <c r="G4" i="30" s="1"/>
  <c r="G127" i="26"/>
  <c r="E26" i="27" s="1"/>
  <c r="G112" i="26"/>
  <c r="E18" i="27" s="1"/>
  <c r="AF90" i="26"/>
  <c r="G89" i="26"/>
  <c r="AG7" i="30"/>
  <c r="I9" i="27"/>
  <c r="G5" i="30"/>
  <c r="AG71" i="26"/>
  <c r="G71" i="26" s="1"/>
  <c r="D18" i="27"/>
  <c r="D15" i="27"/>
  <c r="AG125" i="26"/>
  <c r="G125" i="26" s="1"/>
  <c r="AG113" i="26"/>
  <c r="AG114" i="26" s="1"/>
  <c r="AG129" i="26"/>
  <c r="G129" i="26" s="1"/>
  <c r="D28" i="27"/>
  <c r="D6" i="27"/>
  <c r="E6" i="27" s="1"/>
  <c r="D17" i="27"/>
  <c r="D7" i="27"/>
  <c r="E7" i="27" s="1"/>
  <c r="AG126" i="26"/>
  <c r="D25" i="27"/>
  <c r="I5" i="27" l="1"/>
  <c r="AG9" i="30"/>
  <c r="G114" i="26"/>
  <c r="AF7" i="30"/>
  <c r="AF13" i="30" s="1"/>
  <c r="G90" i="26"/>
  <c r="G7" i="30" s="1"/>
  <c r="G126" i="26"/>
  <c r="E25" i="27" s="1"/>
  <c r="D5" i="27"/>
  <c r="E5" i="27" s="1"/>
  <c r="G6" i="30"/>
  <c r="AG6" i="30"/>
  <c r="AG130" i="26"/>
  <c r="AG131" i="26" s="1"/>
  <c r="G131" i="26" s="1"/>
  <c r="E15" i="27"/>
  <c r="E19" i="27" s="1"/>
  <c r="G113" i="26"/>
  <c r="E28" i="27"/>
  <c r="E8" i="27"/>
  <c r="D24" i="27"/>
  <c r="D4" i="27"/>
  <c r="E4" i="27" s="1"/>
  <c r="D8" i="27"/>
  <c r="E24" i="27"/>
  <c r="G9" i="30" l="1"/>
  <c r="G10" i="30"/>
  <c r="AG10" i="30"/>
  <c r="AG13" i="30" s="1"/>
  <c r="E29" i="27"/>
  <c r="E9" i="27"/>
  <c r="E20" i="27"/>
  <c r="G130" i="26"/>
  <c r="G13" i="30" l="1"/>
  <c r="G20" i="30" s="1"/>
  <c r="E10" i="27"/>
  <c r="E30" i="27"/>
  <c r="G19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rseckard</author>
  </authors>
  <commentList>
    <comment ref="C25" authorId="0" shapeId="0" xr:uid="{5C906BE2-300D-45EE-BA28-0BF8F7D5CD70}">
      <text>
        <r>
          <rPr>
            <b/>
            <sz val="9"/>
            <color indexed="81"/>
            <rFont val="Tahoma"/>
            <family val="2"/>
          </rPr>
          <t>rseckard:</t>
        </r>
        <r>
          <rPr>
            <sz val="9"/>
            <color indexed="81"/>
            <rFont val="Tahoma"/>
            <family val="2"/>
          </rPr>
          <t xml:space="preserve">
zeroed out because no reefers.
</t>
        </r>
      </text>
    </comment>
  </commentList>
</comments>
</file>

<file path=xl/sharedStrings.xml><?xml version="1.0" encoding="utf-8"?>
<sst xmlns="http://schemas.openxmlformats.org/spreadsheetml/2006/main" count="880" uniqueCount="443">
  <si>
    <t xml:space="preserve">Summary: </t>
  </si>
  <si>
    <t xml:space="preserve">Benefits: </t>
  </si>
  <si>
    <t>On-Dock Rail Improvements</t>
  </si>
  <si>
    <t>BASELINE</t>
  </si>
  <si>
    <t>Category</t>
  </si>
  <si>
    <t>Value</t>
  </si>
  <si>
    <t>Units</t>
  </si>
  <si>
    <t>Notes</t>
  </si>
  <si>
    <t>Source</t>
  </si>
  <si>
    <t>TEU</t>
  </si>
  <si>
    <t>SEATAC</t>
  </si>
  <si>
    <t>Import</t>
  </si>
  <si>
    <t>Export</t>
  </si>
  <si>
    <t>Empty</t>
  </si>
  <si>
    <t>Total Loaded</t>
  </si>
  <si>
    <t>Grand Total</t>
  </si>
  <si>
    <t>Import share of total</t>
  </si>
  <si>
    <t>Export share of total</t>
  </si>
  <si>
    <t>Empty share of total</t>
  </si>
  <si>
    <t>Total</t>
  </si>
  <si>
    <t>Mercator</t>
  </si>
  <si>
    <t>Import - Local</t>
  </si>
  <si>
    <t>Import - Intermodal</t>
  </si>
  <si>
    <t>TEUs (1000)</t>
  </si>
  <si>
    <t xml:space="preserve"> Pct Shares</t>
  </si>
  <si>
    <t>% Import - Loaded</t>
  </si>
  <si>
    <t xml:space="preserve">% Export - Loaded </t>
  </si>
  <si>
    <t>% Empty</t>
  </si>
  <si>
    <t>%</t>
  </si>
  <si>
    <t>Cargo Data</t>
  </si>
  <si>
    <t>Truck Costs</t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</si>
  <si>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Motor Carrier Costs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</si>
  <si>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2009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</si>
  <si>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</si>
  <si>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</si>
  <si>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</si>
  <si>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</si>
  <si>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</si>
  <si>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</si>
  <si>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</si>
  <si>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</si>
  <si>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12"/>
        <color indexed="8"/>
        <rFont val="Calibri"/>
        <family val="2"/>
        <scheme val="minor"/>
      </rPr>
      <t xml:space="preserve">Vehicle-based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</si>
  <si>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Fuel Costs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</si>
  <si>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$0.405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</si>
  <si>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$0.486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</si>
  <si>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$0.590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</si>
  <si>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$0.641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</si>
  <si>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$0.645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</si>
  <si>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$0.583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</si>
  <si>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$0.403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</si>
  <si>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$0.336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</si>
  <si>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Truck/Trailer Lease or Purchase  Payments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</si>
  <si>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$0.257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</si>
  <si>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$0.184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</si>
  <si>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$0.189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</si>
  <si>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$0.174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</si>
  <si>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$0.163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</si>
  <si>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$0.215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</si>
  <si>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$0.230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</si>
  <si>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$0.255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</si>
  <si>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Repair &amp; Maintenance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</si>
  <si>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$0.123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</si>
  <si>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$0.124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</si>
  <si>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</si>
  <si>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$0.138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</si>
  <si>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$0.148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</si>
  <si>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</si>
  <si>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</si>
  <si>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$0.166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</si>
  <si>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Truck Insurance Premiums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</si>
  <si>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$0.054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</si>
  <si>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$0.059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</si>
  <si>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$0.067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</si>
  <si>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$0.063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</si>
  <si>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$0.064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</si>
  <si>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$0.071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</si>
  <si>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$0.074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</si>
  <si>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$0.075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</si>
  <si>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Permits and Licenses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</si>
  <si>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</si>
  <si>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</si>
  <si>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$0.038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</si>
  <si>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</si>
  <si>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</si>
  <si>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$0.019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</si>
  <si>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Tires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</si>
  <si>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$0.035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</si>
  <si>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</si>
  <si>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</si>
  <si>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</si>
  <si>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</si>
  <si>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Tolls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</si>
  <si>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</si>
  <si>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$0.012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</si>
  <si>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$0.017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</si>
  <si>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</si>
  <si>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</si>
  <si>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12"/>
        <color indexed="8"/>
        <rFont val="Calibri"/>
        <family val="2"/>
        <scheme val="minor"/>
      </rPr>
      <t>Driver-based</t>
    </r>
    <r>
      <rPr>
        <sz val="12"/>
        <color indexed="8"/>
        <rFont val="Calibri"/>
        <family val="2"/>
        <scheme val="minor"/>
      </rPr>
      <t xml:space="preserve"> </t>
    </r>
    <r>
      <rPr>
        <i/>
        <sz val="12"/>
        <color indexed="8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</si>
  <si>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Driver Wages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</si>
  <si>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$0.446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</si>
  <si>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$0.460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</si>
  <si>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$0.417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</si>
  <si>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$0.440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</si>
  <si>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$0.462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</si>
  <si>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$0.499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</si>
  <si>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$0.523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</si>
  <si>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Driver Benefits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</si>
  <si>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$0.128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</si>
  <si>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$0.162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</si>
  <si>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</si>
  <si>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$0.116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</si>
  <si>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$0.129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</si>
  <si>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$0.131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</si>
  <si>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</si>
  <si>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TOTAL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</si>
  <si>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$1.451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</si>
  <si>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$1.548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</si>
  <si>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$1.706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</si>
  <si>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$1.633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</si>
  <si>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$1.676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</si>
  <si>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$1.703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</si>
  <si>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$1.575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</si>
  <si>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$1.592 </t>
    </r>
    <r>
      <rPr>
        <sz val="11"/>
        <rFont val="Calibri"/>
        <family val="2"/>
        <scheme val="minor"/>
      </rPr>
      <t xml:space="preserve"> </t>
    </r>
  </si>
  <si>
    <t>https://atri-online.org/wp-content/uploads/2018/10/ATRI-Operational-Costs-of-Trucking-2018.pdf</t>
  </si>
  <si>
    <t>Rail Costs</t>
  </si>
  <si>
    <t>$/mile</t>
  </si>
  <si>
    <t>Cost from prior analysis - based on US Rail Desktop, completed using 2016 data</t>
  </si>
  <si>
    <t>Cost per mile</t>
  </si>
  <si>
    <t>Cost per ton-mile</t>
  </si>
  <si>
    <t>Calculate $/ton-mile?</t>
  </si>
  <si>
    <t>https://www.bts.gov/content/average-freight-revenue-ton-mile</t>
  </si>
  <si>
    <t>Rail transportation cost index</t>
  </si>
  <si>
    <t>Estimated Rail Transportation Cost</t>
  </si>
  <si>
    <t>Does this make any sense? Is this per ton? Not per train. I THINK THIS IS WRONG. USE TON MILES INSTEAD.</t>
  </si>
  <si>
    <t xml:space="preserve"> --&gt; LOOKS like they just multiplied their $/mile for trucks estimate by 18%. Oops!</t>
  </si>
  <si>
    <t>TOTAL</t>
  </si>
  <si>
    <t xml:space="preserve">Truck shipping cost </t>
  </si>
  <si>
    <t xml:space="preserve">  </t>
  </si>
  <si>
    <t>miles</t>
  </si>
  <si>
    <t>Truck usage costs $/mile</t>
  </si>
  <si>
    <t xml:space="preserve">   pavement, urban</t>
  </si>
  <si>
    <t xml:space="preserve">   congestion, urban</t>
  </si>
  <si>
    <t xml:space="preserve">   air pollution, urban</t>
  </si>
  <si>
    <t xml:space="preserve">   noise, urban</t>
  </si>
  <si>
    <t xml:space="preserve">   pavement, rural</t>
  </si>
  <si>
    <t xml:space="preserve">   congestion, rural</t>
  </si>
  <si>
    <t xml:space="preserve">   air pollution, rural</t>
  </si>
  <si>
    <t xml:space="preserve">   noise, rural</t>
  </si>
  <si>
    <t>% distance urban</t>
  </si>
  <si>
    <t>% distance rural</t>
  </si>
  <si>
    <t>Fuel Economy, combination truck, 2015 data</t>
  </si>
  <si>
    <t>miles/gallon</t>
  </si>
  <si>
    <t>https://www.bts.gov/content/combination-truck-fuel-consumption-and-travel</t>
  </si>
  <si>
    <t>Table 4-14</t>
  </si>
  <si>
    <t>Truck</t>
  </si>
  <si>
    <t>Train</t>
  </si>
  <si>
    <t>Table 4-25: Energy Intensity of Class I Railroad Freight Service</t>
  </si>
  <si>
    <t>Rail Fuel</t>
  </si>
  <si>
    <t>Revenue freight ton-miles (millions)</t>
  </si>
  <si>
    <t>Car-miles (millions)</t>
  </si>
  <si>
    <t>Tons per car load</t>
  </si>
  <si>
    <t>Fuel consumed (million gallons)</t>
  </si>
  <si>
    <t>Energy intensity (Btu/revenue freight ton-mile)</t>
  </si>
  <si>
    <t>Energy intensity (Btu/car-mile)</t>
  </si>
  <si>
    <t>KEY: Btu = British thermal unit.</t>
  </si>
  <si>
    <t>a The threshold for classification as a Class I Railroad is based on operating revenues; the 2015 threshold is $457.91 million.</t>
  </si>
  <si>
    <t>NOTE</t>
  </si>
  <si>
    <t xml:space="preserve">   Multiplier</t>
  </si>
  <si>
    <t>$</t>
  </si>
  <si>
    <t>(or 640?) plugs for containers</t>
  </si>
  <si>
    <t>Existing plugs</t>
  </si>
  <si>
    <t>N/A</t>
  </si>
  <si>
    <t>Net Present Value</t>
  </si>
  <si>
    <t>Total Benefit</t>
  </si>
  <si>
    <t>Stormwater Treatment</t>
  </si>
  <si>
    <t>Access Improvements &amp; ITS Upgrades</t>
  </si>
  <si>
    <t>Cargo Handling Equipment</t>
  </si>
  <si>
    <t>g</t>
  </si>
  <si>
    <t>Noise</t>
  </si>
  <si>
    <t>Grant Administration and Management</t>
  </si>
  <si>
    <t>Surfacing, Paving, and Reinforcement</t>
  </si>
  <si>
    <t>Rest of T-5 Modernization Program</t>
  </si>
  <si>
    <t>IM Truck Competitive Reduction</t>
  </si>
  <si>
    <t>EX Truck Competitive Reduction</t>
  </si>
  <si>
    <t>Empty Truck Reduction</t>
  </si>
  <si>
    <t>IM Rail Competitive Reduction</t>
  </si>
  <si>
    <t>EX Rail Competitive Reduction</t>
  </si>
  <si>
    <t>Empty Rail Reduction</t>
  </si>
  <si>
    <t>https://www.ornl.gov/</t>
  </si>
  <si>
    <t>Capacity at Buildout</t>
  </si>
  <si>
    <t>Existing Capacity</t>
  </si>
  <si>
    <t>Base Case Ramp Up Rate</t>
  </si>
  <si>
    <t>%/yr</t>
  </si>
  <si>
    <t>Base Case % Capacity by year</t>
  </si>
  <si>
    <t>% Total</t>
  </si>
  <si>
    <t>Throughput of T-5 by year, with Modernization</t>
  </si>
  <si>
    <t>Throughput - % of Capacity of T-5 by year, with Modernization</t>
  </si>
  <si>
    <t>Throughput of T-5 by year, Base Case</t>
  </si>
  <si>
    <t>T-5 TEU Capacities and Throughput</t>
  </si>
  <si>
    <t>Rate</t>
  </si>
  <si>
    <t>Year</t>
  </si>
  <si>
    <t>Historic Inflation Rates</t>
  </si>
  <si>
    <t>max possible at 1.3M capacity</t>
  </si>
  <si>
    <t>Freight Management Competitive Reductions, MAX @ 100% Capacity</t>
  </si>
  <si>
    <t>Freight Management Competitive Reductions, Base Case</t>
  </si>
  <si>
    <t>Discount Factor @7%</t>
  </si>
  <si>
    <t>7% Discount Factor</t>
  </si>
  <si>
    <t xml:space="preserve">Base Year </t>
  </si>
  <si>
    <t>Truck Summary, Miles Reduction, Base Case</t>
  </si>
  <si>
    <t>IMport Truck Competitive Reduction</t>
  </si>
  <si>
    <t>EXport Truck Competitive Reduction</t>
  </si>
  <si>
    <t>IMport Rail Competitive Reduction</t>
  </si>
  <si>
    <t>EXport Rail Competitive Reduction</t>
  </si>
  <si>
    <t>Import, Truck</t>
  </si>
  <si>
    <t>Export, Truck</t>
  </si>
  <si>
    <t>Total Truck Miles Reduction</t>
  </si>
  <si>
    <t>Total Truck Miles Reduction $ Savings</t>
  </si>
  <si>
    <t>$ Saved</t>
  </si>
  <si>
    <t>Rail</t>
  </si>
  <si>
    <t>Rail Summary, Miles Reduction, Base Case</t>
  </si>
  <si>
    <t>Import, Rail</t>
  </si>
  <si>
    <t>Export, Rail</t>
  </si>
  <si>
    <t>Empty, Rail</t>
  </si>
  <si>
    <t>Total Rail Miles Reduction</t>
  </si>
  <si>
    <t>US Rail Desktop software</t>
  </si>
  <si>
    <t>Note per mile amount includes driver costs</t>
  </si>
  <si>
    <t>Total Rail Miles Reduction $ Savings @7% Disc.</t>
  </si>
  <si>
    <t>Total Truck Miles Reduction $ Savings @7% Disc.</t>
  </si>
  <si>
    <t>TOTALS</t>
  </si>
  <si>
    <t>Incl Driver wages/benefits</t>
  </si>
  <si>
    <t>Changes in Freight Patterns - cost savings</t>
  </si>
  <si>
    <t>Gas Tax</t>
  </si>
  <si>
    <t>gal/mi</t>
  </si>
  <si>
    <t>Truck MPG</t>
  </si>
  <si>
    <t>GasTaxOffset/mi</t>
  </si>
  <si>
    <t>Urban Mileage Reduction</t>
  </si>
  <si>
    <t>Rural Mileage Reduction</t>
  </si>
  <si>
    <t>Urban $ Savings from pavement</t>
  </si>
  <si>
    <t>Rural $ Savings from pavement</t>
  </si>
  <si>
    <t>Total pavement damage savings</t>
  </si>
  <si>
    <t>Discounted at 7%</t>
  </si>
  <si>
    <t>Not inlcuded per BCA guidance</t>
  </si>
  <si>
    <t>No local/project specific modeling available</t>
  </si>
  <si>
    <t xml:space="preserve">   Crash cost, Urban 5-axle</t>
  </si>
  <si>
    <t xml:space="preserve">   Crash cost, Rural 5-axle</t>
  </si>
  <si>
    <t>https://www.fhwa.dot.gov/policy/hcas/addendum.cfm</t>
  </si>
  <si>
    <t>Table 13</t>
  </si>
  <si>
    <t>Trucking - reduction in crashes - highway/interstate only</t>
  </si>
  <si>
    <t>Total crash avoidance savings</t>
  </si>
  <si>
    <t>Urban $ Savings from crash reduction</t>
  </si>
  <si>
    <t>Rural $ savings from crash reduction</t>
  </si>
  <si>
    <t>Air Pollution Calculations</t>
  </si>
  <si>
    <t>Truck miles saved, total</t>
  </si>
  <si>
    <t>Gallons saved</t>
  </si>
  <si>
    <t>gallons</t>
  </si>
  <si>
    <t>Assumes MY 2020</t>
  </si>
  <si>
    <t xml:space="preserve">   NOx</t>
  </si>
  <si>
    <t xml:space="preserve">   VOCs</t>
  </si>
  <si>
    <t xml:space="preserve">   PM2.5</t>
  </si>
  <si>
    <t xml:space="preserve">   SO2</t>
  </si>
  <si>
    <t>GREET Model Emission Factors, Table A22//long haul diesel trucks</t>
  </si>
  <si>
    <t>g/mile</t>
  </si>
  <si>
    <t>grams</t>
  </si>
  <si>
    <t>short tons</t>
  </si>
  <si>
    <t>CONVERSION FACTORS</t>
  </si>
  <si>
    <t>1 short ton</t>
  </si>
  <si>
    <t xml:space="preserve"> $/short ton</t>
  </si>
  <si>
    <t>$/short ton</t>
  </si>
  <si>
    <t>BCA Guidance</t>
  </si>
  <si>
    <t xml:space="preserve">   CO2</t>
  </si>
  <si>
    <t>lb/gal</t>
  </si>
  <si>
    <t>https://www.eia.gov/environment/emissions/co2_vol_mass.php</t>
  </si>
  <si>
    <t xml:space="preserve">   CO2 $ savings/ton factor</t>
  </si>
  <si>
    <t>$/ton savings</t>
  </si>
  <si>
    <t>Total Emissions Savings</t>
  </si>
  <si>
    <t>$ Saved from emissions reduction</t>
  </si>
  <si>
    <t>Not modeled per DOT guidance</t>
  </si>
  <si>
    <t>Transport Cost Reductions</t>
  </si>
  <si>
    <t>Tons per mile, Train</t>
  </si>
  <si>
    <t>ton-miles</t>
  </si>
  <si>
    <t>Total Rail Ton-Miles Reduction</t>
  </si>
  <si>
    <t>Total Rail Ton-Miles Reduction Savings</t>
  </si>
  <si>
    <t>Trucking or Train - reduction in on-road vehicle congestion</t>
  </si>
  <si>
    <t>Reduction in On-Road Vehicle Congestion</t>
  </si>
  <si>
    <t>Reduction in Pavement Damage</t>
  </si>
  <si>
    <t>Trucking</t>
  </si>
  <si>
    <t>Not Applicable</t>
  </si>
  <si>
    <t>Reduction in Crashes</t>
  </si>
  <si>
    <t xml:space="preserve">Train </t>
  </si>
  <si>
    <t>Total train miles reduction including empty</t>
  </si>
  <si>
    <t>Accident Risk Savings</t>
  </si>
  <si>
    <t>Train cost of accident risk/mile</t>
  </si>
  <si>
    <t>https://www.cbo.gov/sites/default/files/114th-congress-2015-2016/workingpaper/50049-Freight_Transport_Working_Paper-2.pdf</t>
  </si>
  <si>
    <t>Air Emissions / mile, Trucks</t>
  </si>
  <si>
    <t>Air Emissions, g/bhp-hr, locomotives, Tier IV</t>
  </si>
  <si>
    <t xml:space="preserve">   SO2  </t>
  </si>
  <si>
    <t>not available</t>
  </si>
  <si>
    <t>g/bhp-hr</t>
  </si>
  <si>
    <t>https://nepis.epa.gov/Exe/ZyPDF.cgi/P100500B.PDF?Dockey=P100500B.PDF</t>
  </si>
  <si>
    <t>g/gal</t>
  </si>
  <si>
    <t>Line haul conversion factor to g/gal</t>
  </si>
  <si>
    <t>bhp-hr/gal</t>
  </si>
  <si>
    <t>est per https://nepis.epa.gov/Exe/ZyPDF.cgi/P100500B.PDF?Dockey=P100500B.PDF</t>
  </si>
  <si>
    <t>Fuel consumption, rail</t>
  </si>
  <si>
    <t>gal/ton-mile</t>
  </si>
  <si>
    <t>approx US average per USEPA</t>
  </si>
  <si>
    <t>g/ton-mile</t>
  </si>
  <si>
    <t>Convert to short ton/ton-mile</t>
  </si>
  <si>
    <t>short tons/ton-mile</t>
  </si>
  <si>
    <t>ton-mile/gal</t>
  </si>
  <si>
    <t>Fuel consumption/ton-mile</t>
  </si>
  <si>
    <t xml:space="preserve">   CO2 emission factor</t>
  </si>
  <si>
    <t>short ton CO2/ton-mile</t>
  </si>
  <si>
    <t>Ton-miles Saved</t>
  </si>
  <si>
    <t>est. per above ref.</t>
  </si>
  <si>
    <t>n/a</t>
  </si>
  <si>
    <t>rail</t>
  </si>
  <si>
    <t>short ton CO2/gal diesel</t>
  </si>
  <si>
    <t>All discounted @7%</t>
  </si>
  <si>
    <t>Pavement Damage Reductions</t>
  </si>
  <si>
    <t>Crash Reductions</t>
  </si>
  <si>
    <t>Air Pollution Reductions</t>
  </si>
  <si>
    <t>TOTAL BENEFITS</t>
  </si>
  <si>
    <t>Reefer Electrification</t>
  </si>
  <si>
    <t>Reefer Operations Costs (Elec + Generator fuel)</t>
  </si>
  <si>
    <t>Rest of Terminal Operations &amp; Maintenance</t>
  </si>
  <si>
    <t>Port Equipment O&amp;M and Replacement</t>
  </si>
  <si>
    <t>Stormwater Treatment O&amp;M</t>
  </si>
  <si>
    <t>TOTAL COSTS</t>
  </si>
  <si>
    <t>Expand Reefer electrification plugs from 640 to 1400</t>
  </si>
  <si>
    <t>Stop using Tier 2 diesel generators when have &gt;640 reefers on site</t>
  </si>
  <si>
    <t>Power source for &gt;640 reefers</t>
  </si>
  <si>
    <t>diesel generators, T2</t>
  </si>
  <si>
    <t>will reach capacity during select periods of the year - during harvest</t>
  </si>
  <si>
    <t>Average capacity</t>
  </si>
  <si>
    <t>reefers used per day</t>
  </si>
  <si>
    <t>Electricity demand per reefer</t>
  </si>
  <si>
    <t>Hours per day elec demand</t>
  </si>
  <si>
    <t>kW</t>
  </si>
  <si>
    <t>h</t>
  </si>
  <si>
    <t>kWh/hr demand</t>
  </si>
  <si>
    <t>kWh/d per reefer</t>
  </si>
  <si>
    <t>Total avearge reefer demand</t>
  </si>
  <si>
    <t>kWh/d total</t>
  </si>
  <si>
    <t>Amount supplied base case</t>
  </si>
  <si>
    <t xml:space="preserve">kWh/d </t>
  </si>
  <si>
    <t>PROJECT &amp; CALCULATIONS</t>
  </si>
  <si>
    <t>g/kWh</t>
  </si>
  <si>
    <t>Emission Factors, USEPA, diesel non-emergency engine MY 2014 or later, 75 to 750 HP engine capacity</t>
  </si>
  <si>
    <t xml:space="preserve">   VOC</t>
  </si>
  <si>
    <t>https://www.epa.gov/sites/production/files/2016-07/engines_ci_pte_calculator_version_1.0_0.xlsx</t>
  </si>
  <si>
    <t>Net elec from diesel per year</t>
  </si>
  <si>
    <t>kWh/yr</t>
  </si>
  <si>
    <t>Emissions per year at T-5 full capacity</t>
  </si>
  <si>
    <t>Emissions / yr in short tons</t>
  </si>
  <si>
    <t>short tons/yr</t>
  </si>
  <si>
    <t xml:space="preserve">   NOx emissions reduction: $ Savings</t>
  </si>
  <si>
    <t xml:space="preserve">   VOCs emissions reduction: $ Savings</t>
  </si>
  <si>
    <t xml:space="preserve">   PM2.5 emissions reduction: $ Savings</t>
  </si>
  <si>
    <t xml:space="preserve">   SO2 emissions reduction: $ Savings</t>
  </si>
  <si>
    <t>Reefer</t>
  </si>
  <si>
    <t>Tier 4 Top Handlers</t>
  </si>
  <si>
    <t>Not modeled; benefit is positive but &lt;1% of total</t>
  </si>
  <si>
    <t>O&amp;M Costs (positive values show net benefit, negative show net cost)</t>
  </si>
  <si>
    <t>Benefit Cost Ratio</t>
  </si>
  <si>
    <t>neg values shows benefit</t>
  </si>
  <si>
    <t>BCR &amp; NPV</t>
  </si>
  <si>
    <t>NOx</t>
  </si>
  <si>
    <t>VOCs</t>
  </si>
  <si>
    <t>PM2.5</t>
  </si>
  <si>
    <t>SO2</t>
  </si>
  <si>
    <t>CO2</t>
  </si>
  <si>
    <t>Discounted Benefit (7%)</t>
  </si>
  <si>
    <t>Truck pollutant reduction</t>
  </si>
  <si>
    <t>Total Pollutant Reduction</t>
  </si>
  <si>
    <t>Train pollutant reduction</t>
  </si>
  <si>
    <t>Reefer Pollutant Reduction</t>
  </si>
  <si>
    <t>not modeled</t>
  </si>
  <si>
    <t>Base Case</t>
  </si>
  <si>
    <t>Operations and Maintenance</t>
  </si>
  <si>
    <t>Stormwater Maintenance and Treatment (incl. upgrades)</t>
  </si>
  <si>
    <t>Discounted @7%</t>
  </si>
  <si>
    <t>Baseline</t>
  </si>
  <si>
    <t>Short Tons Reduced</t>
  </si>
  <si>
    <t>Pollutant</t>
  </si>
  <si>
    <t>Freight Related Trucking and Rail Savings</t>
  </si>
  <si>
    <t>Truck miles reduction</t>
  </si>
  <si>
    <t>Truck Miles Reduction Savings</t>
  </si>
  <si>
    <t>Discounted Benefit @7%</t>
  </si>
  <si>
    <t>Rail Ton-Miles Reduction</t>
  </si>
  <si>
    <t>Rail Ton-Miles Reduction Savings</t>
  </si>
  <si>
    <t>Terminal 5 Capacity (TEU/year)</t>
  </si>
  <si>
    <t>Freight Transit Cost Reductions</t>
  </si>
  <si>
    <t>Base Case O&amp;M Costs</t>
  </si>
  <si>
    <t>MODEL: COSTS</t>
  </si>
  <si>
    <t>MODEL: MAIN</t>
  </si>
  <si>
    <t>MODEL: SUMMARY OF BENEFITS AND COSTS</t>
  </si>
  <si>
    <t>MODEL: ASSUMPTIONS</t>
  </si>
  <si>
    <t>KEY PARAMETERS</t>
  </si>
  <si>
    <t>BACKGROUND DATA AND INFORMATION</t>
  </si>
  <si>
    <t>SELECT RESULTS AND CHARTS</t>
  </si>
  <si>
    <t>REVISED</t>
  </si>
  <si>
    <t>1500 reefer plugs</t>
  </si>
  <si>
    <t>OLD HISTORIC REF: https://atri-online.org/wp-content/uploads/2018/10/ATRI-Operational-Costs-of-Trucking-2018.pdf</t>
  </si>
  <si>
    <t>CURRENT https://truckingresearch.org/wp-content/uploads/2019/11/ATRI-Operational-Costs-of-Trucking-2019-1.pdf</t>
  </si>
  <si>
    <t>2019 value</t>
  </si>
  <si>
    <t>2019 DATA NO LONGER NEEDED</t>
  </si>
  <si>
    <t>Net O&amp;M, discounted</t>
  </si>
  <si>
    <t>Upsizing Electric Reefer Plug Capacity to 1500</t>
  </si>
  <si>
    <t>Net elec supplied by diesel without project</t>
  </si>
  <si>
    <t>x</t>
  </si>
  <si>
    <t xml:space="preserve">   loss of life from crashes, urban</t>
  </si>
  <si>
    <t>fatalaties per 100 million miles</t>
  </si>
  <si>
    <t>https://www.transportation.gov/rural/rural-transportation-statistics</t>
  </si>
  <si>
    <t xml:space="preserve">   loss of life from crashes, rural</t>
  </si>
  <si>
    <t xml:space="preserve">   Value of a statistical life</t>
  </si>
  <si>
    <t>$ value / life</t>
  </si>
  <si>
    <t xml:space="preserve">2016 data, </t>
  </si>
  <si>
    <t>https://www.transportation.gov/sites/dot.gov/files/docs/2016%20Revised%20Value%20of%20a%20Statistical%20Life%20Guidance.pdf)</t>
  </si>
  <si>
    <t>Urban $ savings from avoided loss of life</t>
  </si>
  <si>
    <t xml:space="preserve"> Rural $ savings from avoided loss of life</t>
  </si>
  <si>
    <t>SUBMODEL: REEFER RACKS CALCULATIONS AND INFORMATION; THIS SHEET NOT USED.</t>
  </si>
  <si>
    <t>THIS SHEET NOT USED FOR THE BASE CASE ONLY</t>
  </si>
  <si>
    <t>Summary</t>
  </si>
  <si>
    <t>Terminal 5 Uplands Modernization and Rehabilitation Project 
Final Phase</t>
  </si>
  <si>
    <t>U.S. DEPARTMENT OF TRANSPORTATION – MARITIME ADMINISTRATION</t>
  </si>
  <si>
    <t xml:space="preserve"> </t>
  </si>
  <si>
    <t>APPENDIX B1</t>
  </si>
  <si>
    <t>BENEFIT COST ANALYSIS: BASELINE</t>
  </si>
  <si>
    <t>T-5 PROGRAM long term ramp rate</t>
  </si>
  <si>
    <t>T-5 PROGRAM Capital Costs</t>
  </si>
  <si>
    <t>T-5 PROGRAM O&amp;M Costs</t>
  </si>
  <si>
    <t>Freight Management Competitive Reductions, T-5 PROGRAM</t>
  </si>
  <si>
    <t>Truck Summary, Miles Reduction, T-5 PROGRAM</t>
  </si>
  <si>
    <t>Truck Summary, (T-5 PROGRAM) - (Base Case)</t>
  </si>
  <si>
    <t>Rail Summary, Miles Reduction, T-5 PROGRAM</t>
  </si>
  <si>
    <t>Rail Summary, (T-5 PROGRAM) - (Base Case)</t>
  </si>
  <si>
    <t>T-5 PROGRAM CAPEX</t>
  </si>
  <si>
    <t>T-5 PROGRAM</t>
  </si>
  <si>
    <t>Net O&amp;M Benefit of T-5 PROGRAM @7%</t>
  </si>
  <si>
    <t>May 15, 2020</t>
  </si>
  <si>
    <t>National Infrastructure Investments</t>
  </si>
  <si>
    <t>DTOS59-20-RA-BUILD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</si>
</sst>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&quot;$&quot;* #,##0_);_(&quot;$&quot;* \(#,##0\);_(&quot;$&quot;* &quot;-&quot;??_);_(@_)"/>
    <numFmt numFmtId="168" formatCode="0.0"/>
    <numFmt numFmtId="169" formatCode="_(* #,##0.0_);_(* \(#,##0.0\);_(* &quot;-&quot;?_);_(@_)"/>
    <numFmt numFmtId="170" formatCode="_(* #,##0_);_(* \(#,##0\);_(* &quot;-&quot;?_);_(@_)"/>
    <numFmt numFmtId="171" formatCode="_(&quot;$&quot;* #,##0.0_);_(&quot;$&quot;* \(#,##0.0\);_(&quot;$&quot;* &quot;-&quot;?_);_(@_)"/>
    <numFmt numFmtId="172" formatCode="_(&quot;$&quot;* #,##0_);_(&quot;$&quot;* \(#,##0\);_(&quot;$&quot;* &quot;-&quot;?_);_(@_)"/>
    <numFmt numFmtId="173" formatCode="_(&quot;$&quot;* #,##0.00000_);_(&quot;$&quot;* \(#,##0.00000\);_(&quot;$&quot;* &quot;-&quot;??_);_(@_)"/>
    <numFmt numFmtId="174" formatCode="_(&quot;$&quot;* #,##0.000000_);_(&quot;$&quot;* \(#,##0.000000\);_(&quot;$&quot;* &quot;-&quot;??_);_(@_)"/>
    <numFmt numFmtId="175" formatCode="&quot;$&quot;#,##0.000000_);[Red]\(&quot;$&quot;#,##0.000000\)"/>
    <numFmt numFmtId="176" formatCode="_(* #,##0.000_);_(* \(#,##0.000\);_(* &quot;-&quot;??_);_(@_)"/>
    <numFmt numFmtId="177" formatCode="_(* #,##0.0000_);_(* \(#,##0.0000\);_(* &quot;-&quot;??_);_(@_)"/>
    <numFmt numFmtId="178" formatCode="_(* #,##0.000000_);_(* \(#,##0.000000\);_(* &quot;-&quot;??_);_(@_)"/>
    <numFmt numFmtId="179" formatCode="_(* #,##0.000000000_);_(* \(#,##0.000000000\);_(* &quot;-&quot;??_);_(@_)"/>
    <numFmt numFmtId="180" formatCode="_(* #,##0.00000000000_);_(* \(#,##0.00000000000\);_(* &quot;-&quot;??_);_(@_)"/>
    <numFmt numFmtId="181" formatCode="_(* #,##0.000000000000_);_(* \(#,##0.000000000000\);_(* &quot;-&quot;??_);_(@_)"/>
    <numFmt numFmtId="182" formatCode="0.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4" fillId="0" borderId="0"/>
    <xf numFmtId="0" fontId="28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9" fontId="0" fillId="0" borderId="0" xfId="0" applyNumberFormat="1"/>
    <xf numFmtId="0" fontId="4" fillId="0" borderId="0" xfId="1"/>
    <xf numFmtId="0" fontId="0" fillId="2" borderId="0" xfId="0" applyFill="1"/>
    <xf numFmtId="0" fontId="0" fillId="0" borderId="1" xfId="0" applyBorder="1"/>
    <xf numFmtId="164" fontId="0" fillId="0" borderId="1" xfId="2" applyNumberFormat="1" applyFont="1" applyBorder="1"/>
    <xf numFmtId="164" fontId="0" fillId="0" borderId="0" xfId="2" applyNumberFormat="1" applyFont="1" applyAlignment="1">
      <alignment vertical="top"/>
    </xf>
    <xf numFmtId="164" fontId="0" fillId="0" borderId="0" xfId="2" applyNumberFormat="1" applyFont="1"/>
    <xf numFmtId="164" fontId="0" fillId="0" borderId="0" xfId="0" applyNumberFormat="1"/>
    <xf numFmtId="165" fontId="0" fillId="0" borderId="0" xfId="4" applyNumberFormat="1" applyFont="1"/>
    <xf numFmtId="165" fontId="0" fillId="0" borderId="0" xfId="0" applyNumberFormat="1"/>
    <xf numFmtId="165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8" fontId="0" fillId="0" borderId="0" xfId="0" applyNumberFormat="1"/>
    <xf numFmtId="0" fontId="0" fillId="0" borderId="0" xfId="0" applyFill="1"/>
    <xf numFmtId="0" fontId="8" fillId="0" borderId="0" xfId="0" applyNumberFormat="1" applyFont="1" applyFill="1" applyBorder="1" applyAlignment="1" applyProtection="1"/>
    <xf numFmtId="164" fontId="6" fillId="0" borderId="0" xfId="2" applyNumberFormat="1" applyFont="1"/>
    <xf numFmtId="9" fontId="0" fillId="0" borderId="0" xfId="4" applyFont="1"/>
    <xf numFmtId="166" fontId="0" fillId="0" borderId="0" xfId="2" applyNumberFormat="1" applyFont="1"/>
    <xf numFmtId="167" fontId="0" fillId="0" borderId="0" xfId="3" applyNumberFormat="1" applyFont="1"/>
    <xf numFmtId="167" fontId="0" fillId="0" borderId="0" xfId="0" applyNumberFormat="1"/>
    <xf numFmtId="167" fontId="1" fillId="0" borderId="0" xfId="0" applyNumberFormat="1" applyFont="1"/>
    <xf numFmtId="167" fontId="1" fillId="0" borderId="0" xfId="3" applyNumberFormat="1" applyFont="1"/>
    <xf numFmtId="164" fontId="1" fillId="0" borderId="0" xfId="2" applyNumberFormat="1" applyFont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8" fontId="0" fillId="0" borderId="0" xfId="0" applyNumberFormat="1"/>
    <xf numFmtId="0" fontId="0" fillId="4" borderId="0" xfId="0" applyFill="1"/>
    <xf numFmtId="0" fontId="0" fillId="0" borderId="0" xfId="0" applyAlignment="1">
      <alignment wrapText="1"/>
    </xf>
    <xf numFmtId="6" fontId="0" fillId="0" borderId="0" xfId="0" applyNumberFormat="1"/>
    <xf numFmtId="0" fontId="4" fillId="0" borderId="0" xfId="1" applyAlignment="1">
      <alignment vertical="top"/>
    </xf>
    <xf numFmtId="43" fontId="0" fillId="0" borderId="0" xfId="2" applyFont="1"/>
    <xf numFmtId="10" fontId="0" fillId="0" borderId="0" xfId="4" applyNumberFormat="1" applyFont="1"/>
    <xf numFmtId="164" fontId="0" fillId="0" borderId="0" xfId="4" applyNumberFormat="1" applyFont="1"/>
    <xf numFmtId="8" fontId="0" fillId="4" borderId="0" xfId="0" applyNumberFormat="1" applyFill="1"/>
    <xf numFmtId="8" fontId="8" fillId="4" borderId="0" xfId="0" applyNumberFormat="1" applyFont="1" applyFill="1" applyBorder="1" applyAlignment="1" applyProtection="1"/>
    <xf numFmtId="8" fontId="8" fillId="0" borderId="0" xfId="0" applyNumberFormat="1" applyFont="1" applyFill="1" applyBorder="1" applyAlignment="1" applyProtection="1"/>
    <xf numFmtId="0" fontId="3" fillId="5" borderId="0" xfId="0" applyFont="1" applyFill="1"/>
    <xf numFmtId="0" fontId="3" fillId="5" borderId="0" xfId="0" applyFont="1" applyFill="1" applyAlignment="1">
      <alignment vertical="top"/>
    </xf>
    <xf numFmtId="169" fontId="3" fillId="5" borderId="0" xfId="0" applyNumberFormat="1" applyFont="1" applyFill="1"/>
    <xf numFmtId="170" fontId="3" fillId="5" borderId="0" xfId="0" applyNumberFormat="1" applyFont="1" applyFill="1"/>
    <xf numFmtId="173" fontId="0" fillId="0" borderId="0" xfId="3" applyNumberFormat="1" applyFont="1"/>
    <xf numFmtId="174" fontId="0" fillId="0" borderId="0" xfId="3" applyNumberFormat="1" applyFont="1"/>
    <xf numFmtId="49" fontId="0" fillId="0" borderId="0" xfId="3" applyNumberFormat="1" applyFont="1" applyAlignment="1">
      <alignment vertical="top"/>
    </xf>
    <xf numFmtId="175" fontId="0" fillId="0" borderId="0" xfId="0" applyNumberFormat="1"/>
    <xf numFmtId="176" fontId="0" fillId="0" borderId="0" xfId="2" applyNumberFormat="1" applyFont="1"/>
    <xf numFmtId="43" fontId="0" fillId="0" borderId="0" xfId="2" applyNumberFormat="1" applyFont="1"/>
    <xf numFmtId="177" fontId="0" fillId="0" borderId="0" xfId="2" applyNumberFormat="1" applyFont="1"/>
    <xf numFmtId="178" fontId="0" fillId="0" borderId="0" xfId="2" applyNumberFormat="1" applyFont="1"/>
    <xf numFmtId="179" fontId="0" fillId="0" borderId="0" xfId="2" applyNumberFormat="1" applyFont="1"/>
    <xf numFmtId="180" fontId="0" fillId="0" borderId="0" xfId="2" applyNumberFormat="1" applyFont="1"/>
    <xf numFmtId="181" fontId="0" fillId="0" borderId="0" xfId="2" applyNumberFormat="1" applyFont="1"/>
    <xf numFmtId="172" fontId="0" fillId="0" borderId="0" xfId="0" applyNumberFormat="1"/>
    <xf numFmtId="0" fontId="1" fillId="5" borderId="0" xfId="0" applyFont="1" applyFill="1"/>
    <xf numFmtId="172" fontId="1" fillId="5" borderId="0" xfId="0" applyNumberFormat="1" applyFont="1" applyFill="1"/>
    <xf numFmtId="171" fontId="1" fillId="5" borderId="0" xfId="0" applyNumberFormat="1" applyFont="1" applyFill="1"/>
    <xf numFmtId="167" fontId="1" fillId="5" borderId="0" xfId="3" applyNumberFormat="1" applyFont="1" applyFill="1"/>
    <xf numFmtId="172" fontId="1" fillId="0" borderId="0" xfId="0" applyNumberFormat="1" applyFont="1"/>
    <xf numFmtId="0" fontId="0" fillId="0" borderId="0" xfId="0"/>
    <xf numFmtId="0" fontId="1" fillId="0" borderId="0" xfId="0" applyFont="1"/>
    <xf numFmtId="44" fontId="0" fillId="0" borderId="0" xfId="3" applyFont="1"/>
    <xf numFmtId="0" fontId="0" fillId="0" borderId="0" xfId="0" applyFont="1"/>
    <xf numFmtId="44" fontId="0" fillId="0" borderId="0" xfId="0" applyNumberFormat="1"/>
    <xf numFmtId="0" fontId="0" fillId="0" borderId="0" xfId="0" applyBorder="1"/>
    <xf numFmtId="167" fontId="0" fillId="0" borderId="0" xfId="3" applyNumberFormat="1" applyFont="1" applyBorder="1"/>
    <xf numFmtId="0" fontId="13" fillId="0" borderId="0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82" fontId="15" fillId="0" borderId="0" xfId="0" applyNumberFormat="1" applyFont="1"/>
    <xf numFmtId="167" fontId="15" fillId="0" borderId="0" xfId="0" applyNumberFormat="1" applyFont="1"/>
    <xf numFmtId="43" fontId="0" fillId="0" borderId="0" xfId="0" applyNumberFormat="1"/>
    <xf numFmtId="0" fontId="17" fillId="0" borderId="0" xfId="0" applyFont="1"/>
    <xf numFmtId="0" fontId="18" fillId="0" borderId="0" xfId="0" applyFont="1"/>
    <xf numFmtId="6" fontId="0" fillId="0" borderId="0" xfId="2" applyNumberFormat="1" applyFont="1"/>
    <xf numFmtId="0" fontId="19" fillId="0" borderId="0" xfId="0" applyFont="1"/>
    <xf numFmtId="164" fontId="0" fillId="0" borderId="0" xfId="2" applyNumberFormat="1" applyFont="1" applyFill="1"/>
    <xf numFmtId="164" fontId="6" fillId="0" borderId="0" xfId="0" applyNumberFormat="1" applyFont="1" applyFill="1"/>
    <xf numFmtId="165" fontId="0" fillId="0" borderId="0" xfId="4" applyNumberFormat="1" applyFont="1" applyFill="1"/>
    <xf numFmtId="165" fontId="6" fillId="0" borderId="0" xfId="0" applyNumberFormat="1" applyFont="1" applyFill="1"/>
    <xf numFmtId="164" fontId="20" fillId="0" borderId="0" xfId="2" applyNumberFormat="1" applyFont="1"/>
    <xf numFmtId="10" fontId="20" fillId="0" borderId="0" xfId="4" applyNumberFormat="1" applyFont="1"/>
    <xf numFmtId="9" fontId="8" fillId="0" borderId="0" xfId="4" applyFont="1"/>
    <xf numFmtId="10" fontId="0" fillId="0" borderId="0" xfId="4" applyNumberFormat="1" applyFont="1" applyFill="1"/>
    <xf numFmtId="164" fontId="0" fillId="0" borderId="0" xfId="4" applyNumberFormat="1" applyFont="1" applyFill="1"/>
    <xf numFmtId="167" fontId="0" fillId="0" borderId="0" xfId="3" applyNumberFormat="1" applyFont="1" applyFill="1"/>
    <xf numFmtId="0" fontId="5" fillId="3" borderId="0" xfId="6" applyFill="1"/>
    <xf numFmtId="0" fontId="5" fillId="3" borderId="0" xfId="6" applyFill="1" applyAlignment="1">
      <alignment vertical="top" wrapText="1"/>
    </xf>
    <xf numFmtId="0" fontId="23" fillId="3" borderId="0" xfId="6" applyFont="1" applyFill="1"/>
    <xf numFmtId="0" fontId="25" fillId="0" borderId="0" xfId="7" applyFont="1" applyAlignment="1">
      <alignment horizontal="centerContinuous" vertical="center"/>
    </xf>
    <xf numFmtId="0" fontId="26" fillId="0" borderId="0" xfId="7" applyFont="1" applyAlignment="1">
      <alignment horizontal="centerContinuous" vertical="center"/>
    </xf>
    <xf numFmtId="0" fontId="22" fillId="3" borderId="0" xfId="6" applyFont="1" applyFill="1" applyAlignment="1">
      <alignment horizontal="centerContinuous"/>
    </xf>
    <xf numFmtId="0" fontId="22" fillId="3" borderId="0" xfId="6" applyFont="1" applyFill="1"/>
    <xf numFmtId="0" fontId="26" fillId="0" borderId="0" xfId="7" applyFont="1" applyAlignment="1">
      <alignment horizontal="centerContinuous" vertical="center" wrapText="1"/>
    </xf>
    <xf numFmtId="0" fontId="5" fillId="3" borderId="0" xfId="6" applyFill="1" applyAlignment="1">
      <alignment horizontal="right"/>
    </xf>
    <xf numFmtId="0" fontId="29" fillId="3" borderId="0" xfId="8" applyFont="1" applyFill="1" applyAlignment="1">
      <alignment horizontal="left"/>
    </xf>
    <xf numFmtId="0" fontId="30" fillId="3" borderId="0" xfId="6" applyFont="1" applyFill="1" applyAlignment="1">
      <alignment horizontal="center" vertical="center"/>
    </xf>
    <xf numFmtId="0" fontId="31" fillId="3" borderId="0" xfId="6" applyFont="1" applyFill="1" applyAlignment="1">
      <alignment horizontal="center" vertical="center"/>
    </xf>
    <xf numFmtId="0" fontId="32" fillId="3" borderId="0" xfId="6" applyFont="1" applyFill="1" applyAlignment="1">
      <alignment horizontal="center" vertical="center"/>
    </xf>
    <xf numFmtId="0" fontId="16" fillId="3" borderId="0" xfId="6" applyFont="1" applyFill="1"/>
    <xf numFmtId="0" fontId="30" fillId="3" borderId="0" xfId="6" applyFont="1" applyFill="1" applyAlignment="1">
      <alignment horizontal="centerContinuous"/>
    </xf>
    <xf numFmtId="0" fontId="23" fillId="3" borderId="0" xfId="6" quotePrefix="1" applyFont="1" applyFill="1" applyAlignment="1">
      <alignment horizontal="center"/>
    </xf>
    <xf numFmtId="0" fontId="21" fillId="3" borderId="0" xfId="6" applyFont="1" applyFill="1" applyAlignment="1">
      <alignment horizontal="center"/>
    </xf>
    <xf numFmtId="0" fontId="22" fillId="3" borderId="0" xfId="6" applyFont="1" applyFill="1" applyAlignment="1">
      <alignment horizontal="center" vertical="center" wrapText="1"/>
    </xf>
    <xf numFmtId="0" fontId="27" fillId="0" borderId="0" xfId="7" applyFont="1" applyAlignment="1">
      <alignment horizontal="left" vertical="top" wrapText="1"/>
    </xf>
    <xf numFmtId="167" fontId="0" fillId="0" borderId="0" xfId="3" applyNumberFormat="1" applyFont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164" fontId="0" fillId="0" borderId="0" xfId="2" applyNumberFormat="1" applyFont="1" applyAlignment="1">
      <alignment horizontal="center" vertical="center" wrapText="1"/>
    </xf>
  </cellXfs>
  <cellStyles count="9">
    <cellStyle name="Comma" xfId="2" builtinId="3"/>
    <cellStyle name="Currency" xfId="3" builtinId="4"/>
    <cellStyle name="Hyperlink" xfId="1" builtinId="8"/>
    <cellStyle name="Hyperlink 2" xfId="5" xr:uid="{14850C6B-C2D8-4B87-AA37-EA844150F8BB}"/>
    <cellStyle name="Hyperlink 3" xfId="8" xr:uid="{5DD23DDE-C3E3-444B-AC27-919C50D6BF8F}"/>
    <cellStyle name="Normal" xfId="0" builtinId="0"/>
    <cellStyle name="Normal 2" xfId="7" xr:uid="{47B4A779-DF89-41FF-949A-4F93EA6D1434}"/>
    <cellStyle name="Normal 3" xfId="6" xr:uid="{2350FE89-E647-43AA-961B-CD3843973E9E}"/>
    <cellStyle name="Percent" xfId="4" builtinId="5"/>
  </cellStyles>
  <dxfs count="0"/>
  <tableStyles count="0" defaultTableStyle="TableStyleMedium2" defaultPivotStyle="PivotStyleLight16"/>
  <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</xdr:colOff>
      <xdr:row>0</xdr:row>
      <xdr:rowOff>0</xdr:rowOff>
    </xdr:from>
    <xdr:to>
      <xdr:col>5</xdr:col>
      <xdr:colOff>286385</xdr:colOff>
      <xdr:row>0</xdr:row>
      <xdr:rowOff>1216025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A6E735-B824-4B0E-8ECF-B292DD037B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75" y="0"/>
          <a:ext cx="1642110" cy="1216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Andrea%20Swanson.DESKTOP-26KLOUE/Grant%20Farm%20Dropbox/MDrive/01_Clients/NWSA/Proposals/2020%20MARAD%20PIDP/05a%20App%20B1%20BCA%201%20(Base%20Case)/Appendix%20B1%20-%20NWSA%20MARAD%20PIDP%20BCA_BASE%20CASE%20ONLY_5.13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0_MODEL_BenefitSummary"/>
      <sheetName val="1_MODEL_assumptions"/>
      <sheetName val="2_MODEL_Costs"/>
      <sheetName val="3_MODEL_main"/>
      <sheetName val="Results Charts"/>
      <sheetName val="PARAMS"/>
      <sheetName val="BKGRD"/>
      <sheetName val="UNUSED4_MODELsub_ElecReferRacks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C23">
            <v>5.9</v>
          </cell>
        </row>
      </sheetData>
      <sheetData sheetId="7">
        <row r="66">
          <cell r="L66">
            <v>1.6910000000000001</v>
          </cell>
        </row>
        <row r="78">
          <cell r="M78">
            <v>4.2299999999999997E-2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rnl.gov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uckingresearch.org/wp-content/uploads/2019/11/ATRI-Operational-Costs-of-Trucking-2019-1.pdf" TargetMode="External"/><Relationship Id="rId3" Type="http://schemas.openxmlformats.org/officeDocument/2006/relationships/hyperlink" Target="https://www.eia.gov/environment/emissions/co2_vol_mass.php" TargetMode="External"/><Relationship Id="rId7" Type="http://schemas.openxmlformats.org/officeDocument/2006/relationships/hyperlink" Target="https://www.eia.gov/environment/emissions/co2_vol_mass.php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www.bts.gov/content/combination-truck-fuel-consumption-and-travel" TargetMode="External"/><Relationship Id="rId1" Type="http://schemas.openxmlformats.org/officeDocument/2006/relationships/hyperlink" Target="https://atri-online.org/wp-content/uploads/2018/10/ATRI-Operational-Costs-of-Trucking-2018.pdf" TargetMode="External"/><Relationship Id="rId6" Type="http://schemas.openxmlformats.org/officeDocument/2006/relationships/hyperlink" Target="https://nepis.epa.gov/Exe/ZyPDF.cgi/P100500B.PDF?Dockey=P100500B.PDF" TargetMode="External"/><Relationship Id="rId11" Type="http://schemas.openxmlformats.org/officeDocument/2006/relationships/hyperlink" Target="https://www.transportation.gov/sites/dot.gov/files/docs/2016%20Revised%20Value%20of%20a%20Statistical%20Life%20Guidance.pdf)" TargetMode="External"/><Relationship Id="rId5" Type="http://schemas.openxmlformats.org/officeDocument/2006/relationships/hyperlink" Target="https://nepis.epa.gov/Exe/ZyPDF.cgi/P100500B.PDF?Dockey=P100500B.PDF" TargetMode="External"/><Relationship Id="rId10" Type="http://schemas.openxmlformats.org/officeDocument/2006/relationships/hyperlink" Target="https://www.transportation.gov/rural/rural-transportation-statistics" TargetMode="External"/><Relationship Id="rId4" Type="http://schemas.openxmlformats.org/officeDocument/2006/relationships/hyperlink" Target="https://www.cbo.gov/sites/default/files/114th-congress-2015-2016/workingpaper/50049-Freight_Transport_Working_Paper-2.pdf" TargetMode="External"/><Relationship Id="rId9" Type="http://schemas.openxmlformats.org/officeDocument/2006/relationships/hyperlink" Target="https://www.transportation.gov/rural/rural-transportation-statistic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ts.gov/content/average-freight-revenue-ton-mile" TargetMode="External"/><Relationship Id="rId1" Type="http://schemas.openxmlformats.org/officeDocument/2006/relationships/hyperlink" Target="https://atri-online.org/wp-content/uploads/2018/10/ATRI-Operational-Costs-of-Trucking-2018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pa.gov/sites/production/files/2016-07/engines_ci_pte_calculator_version_1.0_0.xlsx" TargetMode="External"/><Relationship Id="rId2" Type="http://schemas.openxmlformats.org/officeDocument/2006/relationships/hyperlink" Target="https://www.epa.gov/sites/production/files/2016-07/engines_ci_pte_calculator_version_1.0_0.xlsx" TargetMode="External"/><Relationship Id="rId1" Type="http://schemas.openxmlformats.org/officeDocument/2006/relationships/hyperlink" Target="https://www.epa.gov/sites/production/files/2016-07/engines_ci_pte_calculator_version_1.0_0.xls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s://www.epa.gov/sites/production/files/2016-07/engines_ci_pte_calculator_version_1.0_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57A1-FAA4-4E61-8679-EBBC5D8A8594}">
  <dimension ref="A1:I26"/>
  <sheetViews>
    <sheetView tabSelected="1" zoomScale="85" zoomScaleNormal="85" zoomScalePageLayoutView="55" workbookViewId="0">
      <selection activeCell="D14" sqref="D14"/>
    </sheetView>
  </sheetViews>
  <sheetFormatPr baseColWidth="10" defaultColWidth="9.1640625" defaultRowHeight="15" x14ac:dyDescent="0.2"/>
  <cols>
    <col min="1" max="9" width="10" style="91" customWidth="1"/>
    <col min="10" max="16384" width="9.1640625" style="91"/>
  </cols>
  <sheetData>
    <row r="1" spans="1:9" ht="134.5" customHeight="1" x14ac:dyDescent="0.3">
      <c r="A1" s="107"/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92"/>
    </row>
    <row r="3" spans="1:9" s="93" customFormat="1" ht="24" x14ac:dyDescent="0.3">
      <c r="A3" s="108" t="s">
        <v>424</v>
      </c>
      <c r="B3" s="108"/>
      <c r="C3" s="108"/>
      <c r="D3" s="108"/>
      <c r="E3" s="108"/>
      <c r="F3" s="108"/>
      <c r="G3" s="108"/>
      <c r="H3" s="108"/>
      <c r="I3" s="108"/>
    </row>
    <row r="4" spans="1:9" s="93" customFormat="1" ht="24" x14ac:dyDescent="0.3">
      <c r="A4" s="108"/>
      <c r="B4" s="108"/>
      <c r="C4" s="108"/>
      <c r="D4" s="108"/>
      <c r="E4" s="108"/>
      <c r="F4" s="108"/>
      <c r="G4" s="108"/>
      <c r="H4" s="108"/>
      <c r="I4" s="108"/>
    </row>
    <row r="5" spans="1:9" s="93" customFormat="1" ht="24" x14ac:dyDescent="0.3">
      <c r="A5" s="108"/>
      <c r="B5" s="108"/>
      <c r="C5" s="108"/>
      <c r="D5" s="108"/>
      <c r="E5" s="108"/>
      <c r="F5" s="108"/>
      <c r="G5" s="108"/>
      <c r="H5" s="108"/>
      <c r="I5" s="108"/>
    </row>
    <row r="7" spans="1:9" ht="19" x14ac:dyDescent="0.25">
      <c r="A7" s="94" t="s">
        <v>425</v>
      </c>
      <c r="B7" s="105"/>
      <c r="C7" s="105"/>
      <c r="D7" s="105"/>
      <c r="E7" s="105"/>
      <c r="F7" s="105"/>
      <c r="G7" s="105"/>
      <c r="H7" s="105"/>
      <c r="I7" s="105"/>
    </row>
    <row r="8" spans="1:9" s="104" customFormat="1" ht="21" x14ac:dyDescent="0.25">
      <c r="A8" s="105" t="s">
        <v>441</v>
      </c>
      <c r="B8" s="105"/>
      <c r="C8" s="105"/>
      <c r="D8" s="105"/>
      <c r="E8" s="105"/>
      <c r="F8" s="105"/>
      <c r="G8" s="105"/>
      <c r="H8" s="105"/>
      <c r="I8" s="105"/>
    </row>
    <row r="9" spans="1:9" s="104" customFormat="1" ht="21" x14ac:dyDescent="0.25">
      <c r="A9" s="94" t="s">
        <v>442</v>
      </c>
      <c r="B9" s="105"/>
      <c r="C9" s="105"/>
      <c r="D9" s="105"/>
      <c r="E9" s="105"/>
      <c r="F9" s="105"/>
      <c r="G9" s="105"/>
      <c r="H9" s="105"/>
      <c r="I9" s="105"/>
    </row>
    <row r="11" spans="1:9" s="97" customFormat="1" ht="24" x14ac:dyDescent="0.3">
      <c r="A11" s="95" t="s">
        <v>427</v>
      </c>
      <c r="B11" s="96"/>
      <c r="C11" s="96"/>
      <c r="D11" s="96"/>
      <c r="E11" s="96"/>
      <c r="F11" s="96"/>
      <c r="G11" s="96"/>
      <c r="H11" s="96"/>
      <c r="I11" s="96"/>
    </row>
    <row r="12" spans="1:9" s="97" customFormat="1" ht="11" customHeight="1" x14ac:dyDescent="0.3">
      <c r="A12" s="97" t="s">
        <v>426</v>
      </c>
    </row>
    <row r="13" spans="1:9" s="97" customFormat="1" ht="25" x14ac:dyDescent="0.3">
      <c r="A13" s="98" t="s">
        <v>428</v>
      </c>
      <c r="B13" s="96"/>
      <c r="C13" s="96"/>
      <c r="D13" s="96"/>
      <c r="E13" s="96"/>
      <c r="F13" s="96"/>
      <c r="G13" s="96"/>
      <c r="H13" s="96"/>
      <c r="I13" s="96"/>
    </row>
    <row r="14" spans="1:9" s="97" customFormat="1" ht="24" x14ac:dyDescent="0.3"/>
    <row r="15" spans="1:9" s="97" customFormat="1" ht="24" x14ac:dyDescent="0.3">
      <c r="E15" s="106" t="s">
        <v>440</v>
      </c>
    </row>
    <row r="19" spans="1:9" ht="68.5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</row>
    <row r="21" spans="1:9" x14ac:dyDescent="0.2">
      <c r="A21" s="99"/>
      <c r="B21" s="100"/>
    </row>
    <row r="24" spans="1:9" ht="19" x14ac:dyDescent="0.2">
      <c r="E24" s="101"/>
    </row>
    <row r="25" spans="1:9" ht="19" x14ac:dyDescent="0.2">
      <c r="E25" s="102"/>
    </row>
    <row r="26" spans="1:9" ht="16" x14ac:dyDescent="0.2">
      <c r="E26" s="103"/>
    </row>
  </sheetData>
  <mergeCells count="3">
    <mergeCell ref="A1:I1"/>
    <mergeCell ref="A3:I5"/>
    <mergeCell ref="A19:I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E27C-98D2-4BC0-8FA7-E48FEA5617D7}">
  <dimension ref="A1:AH20"/>
  <sheetViews>
    <sheetView workbookViewId="0">
      <selection activeCell="D16" sqref="D16"/>
    </sheetView>
  </sheetViews>
  <sheetFormatPr baseColWidth="10" defaultColWidth="8.83203125" defaultRowHeight="15" x14ac:dyDescent="0.2"/>
  <cols>
    <col min="4" max="4" width="29.33203125" customWidth="1"/>
    <col min="5" max="5" width="9.1640625" customWidth="1"/>
    <col min="6" max="6" width="26.1640625" customWidth="1"/>
    <col min="7" max="7" width="22.6640625" customWidth="1"/>
    <col min="8" max="33" width="14.1640625" customWidth="1"/>
    <col min="34" max="34" width="14.1640625" style="63" customWidth="1"/>
  </cols>
  <sheetData>
    <row r="1" spans="1:34" s="63" customFormat="1" x14ac:dyDescent="0.2">
      <c r="A1" s="64" t="s">
        <v>396</v>
      </c>
      <c r="H1" s="63">
        <v>0</v>
      </c>
      <c r="I1" s="63">
        <v>0</v>
      </c>
      <c r="J1" s="63">
        <f t="shared" ref="J1:AH1" si="0">I1+1</f>
        <v>1</v>
      </c>
      <c r="K1" s="63">
        <f t="shared" si="0"/>
        <v>2</v>
      </c>
      <c r="L1" s="63">
        <f t="shared" si="0"/>
        <v>3</v>
      </c>
      <c r="M1" s="63">
        <f t="shared" si="0"/>
        <v>4</v>
      </c>
      <c r="N1" s="63">
        <f t="shared" si="0"/>
        <v>5</v>
      </c>
      <c r="O1" s="63">
        <f t="shared" si="0"/>
        <v>6</v>
      </c>
      <c r="P1" s="63">
        <f t="shared" si="0"/>
        <v>7</v>
      </c>
      <c r="Q1" s="63">
        <f t="shared" si="0"/>
        <v>8</v>
      </c>
      <c r="R1" s="63">
        <f t="shared" si="0"/>
        <v>9</v>
      </c>
      <c r="S1" s="63">
        <f t="shared" si="0"/>
        <v>10</v>
      </c>
      <c r="T1" s="63">
        <f t="shared" si="0"/>
        <v>11</v>
      </c>
      <c r="U1" s="63">
        <f t="shared" si="0"/>
        <v>12</v>
      </c>
      <c r="V1" s="63">
        <f t="shared" si="0"/>
        <v>13</v>
      </c>
      <c r="W1" s="63">
        <f t="shared" si="0"/>
        <v>14</v>
      </c>
      <c r="X1" s="63">
        <f t="shared" si="0"/>
        <v>15</v>
      </c>
      <c r="Y1" s="63">
        <f t="shared" si="0"/>
        <v>16</v>
      </c>
      <c r="Z1" s="63">
        <f t="shared" si="0"/>
        <v>17</v>
      </c>
      <c r="AA1" s="63">
        <f t="shared" si="0"/>
        <v>18</v>
      </c>
      <c r="AB1" s="63">
        <f t="shared" si="0"/>
        <v>19</v>
      </c>
      <c r="AC1" s="63">
        <f t="shared" si="0"/>
        <v>20</v>
      </c>
      <c r="AD1" s="63">
        <f t="shared" si="0"/>
        <v>21</v>
      </c>
      <c r="AE1" s="63">
        <f t="shared" si="0"/>
        <v>22</v>
      </c>
      <c r="AF1" s="63">
        <f t="shared" si="0"/>
        <v>23</v>
      </c>
      <c r="AG1" s="63">
        <f t="shared" si="0"/>
        <v>24</v>
      </c>
      <c r="AH1" s="63">
        <f t="shared" si="0"/>
        <v>25</v>
      </c>
    </row>
    <row r="2" spans="1:34" s="64" customFormat="1" x14ac:dyDescent="0.2">
      <c r="E2" s="64" t="s">
        <v>6</v>
      </c>
      <c r="F2" s="64" t="s">
        <v>7</v>
      </c>
      <c r="H2" s="64">
        <v>2019</v>
      </c>
      <c r="I2" s="64">
        <v>2020</v>
      </c>
      <c r="J2" s="64">
        <f t="shared" ref="J2:AH2" si="1">I2+1</f>
        <v>2021</v>
      </c>
      <c r="K2" s="64">
        <f t="shared" si="1"/>
        <v>2022</v>
      </c>
      <c r="L2" s="64">
        <f t="shared" si="1"/>
        <v>2023</v>
      </c>
      <c r="M2" s="64">
        <f t="shared" si="1"/>
        <v>2024</v>
      </c>
      <c r="N2" s="64">
        <f t="shared" si="1"/>
        <v>2025</v>
      </c>
      <c r="O2" s="64">
        <f t="shared" si="1"/>
        <v>2026</v>
      </c>
      <c r="P2" s="64">
        <f t="shared" si="1"/>
        <v>2027</v>
      </c>
      <c r="Q2" s="64">
        <f t="shared" si="1"/>
        <v>2028</v>
      </c>
      <c r="R2" s="64">
        <f t="shared" si="1"/>
        <v>2029</v>
      </c>
      <c r="S2" s="64">
        <f t="shared" si="1"/>
        <v>2030</v>
      </c>
      <c r="T2" s="64">
        <f t="shared" si="1"/>
        <v>2031</v>
      </c>
      <c r="U2" s="64">
        <f t="shared" si="1"/>
        <v>2032</v>
      </c>
      <c r="V2" s="64">
        <f t="shared" si="1"/>
        <v>2033</v>
      </c>
      <c r="W2" s="64">
        <f t="shared" si="1"/>
        <v>2034</v>
      </c>
      <c r="X2" s="64">
        <f t="shared" si="1"/>
        <v>2035</v>
      </c>
      <c r="Y2" s="64">
        <f t="shared" si="1"/>
        <v>2036</v>
      </c>
      <c r="Z2" s="64">
        <f t="shared" si="1"/>
        <v>2037</v>
      </c>
      <c r="AA2" s="64">
        <f t="shared" si="1"/>
        <v>2038</v>
      </c>
      <c r="AB2" s="64">
        <f t="shared" si="1"/>
        <v>2039</v>
      </c>
      <c r="AC2" s="64">
        <f t="shared" si="1"/>
        <v>2040</v>
      </c>
      <c r="AD2" s="64">
        <f t="shared" si="1"/>
        <v>2041</v>
      </c>
      <c r="AE2" s="64">
        <f t="shared" si="1"/>
        <v>2042</v>
      </c>
      <c r="AF2" s="64">
        <f t="shared" si="1"/>
        <v>2043</v>
      </c>
      <c r="AG2" s="64">
        <f t="shared" si="1"/>
        <v>2044</v>
      </c>
      <c r="AH2" s="64">
        <f t="shared" si="1"/>
        <v>2045</v>
      </c>
    </row>
    <row r="3" spans="1:34" x14ac:dyDescent="0.2">
      <c r="A3" s="1" t="s">
        <v>322</v>
      </c>
      <c r="D3" s="3" t="s">
        <v>318</v>
      </c>
      <c r="G3" s="3" t="s">
        <v>318</v>
      </c>
    </row>
    <row r="4" spans="1:34" x14ac:dyDescent="0.2">
      <c r="C4" t="s">
        <v>154</v>
      </c>
      <c r="D4" t="s">
        <v>277</v>
      </c>
      <c r="E4" t="s">
        <v>168</v>
      </c>
      <c r="F4" s="42" t="s">
        <v>229</v>
      </c>
      <c r="G4" s="25">
        <f>'3_MODEL_main'!G44</f>
        <v>107121732.59495288</v>
      </c>
      <c r="I4" s="25">
        <f>'3_MODEL_main'!I44</f>
        <v>0</v>
      </c>
      <c r="J4" s="25">
        <f>'3_MODEL_main'!J44</f>
        <v>2322081.323452482</v>
      </c>
      <c r="K4" s="25">
        <f>'3_MODEL_main'!K44</f>
        <v>2862776.7360122069</v>
      </c>
      <c r="L4" s="25">
        <f>'3_MODEL_main'!L44</f>
        <v>3322788.7951905322</v>
      </c>
      <c r="M4" s="25">
        <f>'3_MODEL_main'!M44</f>
        <v>3710360.1062935917</v>
      </c>
      <c r="N4" s="25">
        <f>'3_MODEL_main'!N44</f>
        <v>3226400.0924292104</v>
      </c>
      <c r="O4" s="25">
        <f>'3_MODEL_main'!O44</f>
        <v>3438036.6082309694</v>
      </c>
      <c r="P4" s="25">
        <f>'3_MODEL_main'!P44</f>
        <v>4510217.3215838317</v>
      </c>
      <c r="Q4" s="25">
        <f>'3_MODEL_main'!Q44</f>
        <v>4676669.8470614813</v>
      </c>
      <c r="R4" s="25">
        <f>'3_MODEL_main'!R44</f>
        <v>4802040.484870065</v>
      </c>
      <c r="S4" s="25">
        <f>'3_MODEL_main'!S44</f>
        <v>4890992.0434627123</v>
      </c>
      <c r="T4" s="25">
        <f>'3_MODEL_main'!T44</f>
        <v>4947753.0685126539</v>
      </c>
      <c r="U4" s="25">
        <f>'3_MODEL_main'!U44</f>
        <v>4976154.706222699</v>
      </c>
      <c r="V4" s="25">
        <f>'3_MODEL_main'!V44</f>
        <v>4979664.6019773968</v>
      </c>
      <c r="W4" s="25">
        <f>'3_MODEL_main'!W44</f>
        <v>4961418.0644675773</v>
      </c>
      <c r="X4" s="25">
        <f>'3_MODEL_main'!X44</f>
        <v>4924246.7079947768</v>
      </c>
      <c r="Y4" s="25">
        <f>'3_MODEL_main'!Y44</f>
        <v>4870704.7695355453</v>
      </c>
      <c r="Z4" s="25">
        <f>'3_MODEL_main'!Z44</f>
        <v>4803093.2822179124</v>
      </c>
      <c r="AA4" s="25">
        <f>'3_MODEL_main'!AA44</f>
        <v>4723482.2730463687</v>
      </c>
      <c r="AB4" s="25">
        <f>'3_MODEL_main'!AB44</f>
        <v>4633731.1399260359</v>
      </c>
      <c r="AC4" s="25">
        <f>'3_MODEL_main'!AC44</f>
        <v>4535507.3512056479</v>
      </c>
      <c r="AD4" s="25">
        <f>'3_MODEL_main'!AD44</f>
        <v>4430303.6000122735</v>
      </c>
      <c r="AE4" s="25">
        <f>'3_MODEL_main'!AE44</f>
        <v>4319453.5355232917</v>
      </c>
      <c r="AF4" s="25">
        <f>'3_MODEL_main'!AF44</f>
        <v>4204146.1839528093</v>
      </c>
      <c r="AG4" s="25">
        <f>'3_MODEL_main'!AG44</f>
        <v>4085439.1633642404</v>
      </c>
      <c r="AH4" s="25">
        <f>'3_MODEL_main'!AH44</f>
        <v>3964270.788406556</v>
      </c>
    </row>
    <row r="5" spans="1:34" x14ac:dyDescent="0.2">
      <c r="C5" t="s">
        <v>218</v>
      </c>
      <c r="D5" t="s">
        <v>277</v>
      </c>
      <c r="E5" s="63" t="s">
        <v>168</v>
      </c>
      <c r="G5" s="25">
        <f>'3_MODEL_main'!G62</f>
        <v>28639655.749960963</v>
      </c>
      <c r="I5" s="25">
        <f>'3_MODEL_main'!I62</f>
        <v>445244.70374743675</v>
      </c>
      <c r="J5" s="25">
        <f>'3_MODEL_main'!J62</f>
        <v>611171.17628882953</v>
      </c>
      <c r="K5" s="25">
        <f>'3_MODEL_main'!K62</f>
        <v>753482.06263486645</v>
      </c>
      <c r="L5" s="25">
        <f>'3_MODEL_main'!L62</f>
        <v>874557.11219301645</v>
      </c>
      <c r="M5" s="25">
        <f>'3_MODEL_main'!M62</f>
        <v>976565.77645051014</v>
      </c>
      <c r="N5" s="25">
        <f>'3_MODEL_main'!N62</f>
        <v>849187.63169609557</v>
      </c>
      <c r="O5" s="25">
        <f>'3_MODEL_main'!O62</f>
        <v>904890.3054146535</v>
      </c>
      <c r="P5" s="25">
        <f>'3_MODEL_main'!P62</f>
        <v>1187087.9791807833</v>
      </c>
      <c r="Q5" s="25">
        <f>'3_MODEL_main'!Q62</f>
        <v>1230898.2388667646</v>
      </c>
      <c r="R5" s="25">
        <f>'3_MODEL_main'!R62</f>
        <v>1263895.7568294988</v>
      </c>
      <c r="S5" s="25">
        <f>'3_MODEL_main'!S62</f>
        <v>1287307.782992718</v>
      </c>
      <c r="T5" s="25">
        <f>'3_MODEL_main'!T62</f>
        <v>1302247.2694339398</v>
      </c>
      <c r="U5" s="25">
        <f>'3_MODEL_main'!U62</f>
        <v>1309722.572797549</v>
      </c>
      <c r="V5" s="25">
        <f>'3_MODEL_main'!V62</f>
        <v>1310646.376410878</v>
      </c>
      <c r="W5" s="25">
        <f>'3_MODEL_main'!W62</f>
        <v>1305843.8926733606</v>
      </c>
      <c r="X5" s="25">
        <f>'3_MODEL_main'!X62</f>
        <v>1296060.4017033044</v>
      </c>
      <c r="Y5" s="25">
        <f>'3_MODEL_main'!Y62</f>
        <v>1281968.1779821042</v>
      </c>
      <c r="Z5" s="25">
        <f>'3_MODEL_main'!Z62</f>
        <v>1264172.8528067067</v>
      </c>
      <c r="AA5" s="25">
        <f>'3_MODEL_main'!AA62</f>
        <v>1243219.2567248212</v>
      </c>
      <c r="AB5" s="25">
        <f>'3_MODEL_main'!AB62</f>
        <v>1219596.7827621724</v>
      </c>
      <c r="AC5" s="25">
        <f>'3_MODEL_main'!AC62</f>
        <v>1193744.308137154</v>
      </c>
      <c r="AD5" s="25">
        <f>'3_MODEL_main'!AD62</f>
        <v>1166054.7092770869</v>
      </c>
      <c r="AE5" s="25">
        <f>'3_MODEL_main'!AE62</f>
        <v>1136879.002284752</v>
      </c>
      <c r="AF5" s="25">
        <f>'3_MODEL_main'!AF62</f>
        <v>1106530.1385381101</v>
      </c>
      <c r="AG5" s="25">
        <f>'3_MODEL_main'!AG62</f>
        <v>1075286.4828254022</v>
      </c>
      <c r="AH5" s="25">
        <f>'3_MODEL_main'!AH62</f>
        <v>1043394.999308456</v>
      </c>
    </row>
    <row r="6" spans="1:34" x14ac:dyDescent="0.2">
      <c r="C6" t="s">
        <v>154</v>
      </c>
      <c r="D6" t="s">
        <v>319</v>
      </c>
      <c r="E6" s="63" t="s">
        <v>168</v>
      </c>
      <c r="G6" s="57">
        <f>'3_MODEL_main'!G71</f>
        <v>3689918.5969493007</v>
      </c>
      <c r="I6" s="57">
        <f>'3_MODEL_main'!I71</f>
        <v>57365.099877399458</v>
      </c>
      <c r="J6" s="57">
        <f>'3_MODEL_main'!J71</f>
        <v>78742.981724234065</v>
      </c>
      <c r="K6" s="57">
        <f>'3_MODEL_main'!K71</f>
        <v>97078.243525601763</v>
      </c>
      <c r="L6" s="57">
        <f>'3_MODEL_main'!L71</f>
        <v>112677.49097786153</v>
      </c>
      <c r="M6" s="57">
        <f>'3_MODEL_main'!M71</f>
        <v>125820.23510090134</v>
      </c>
      <c r="N6" s="57">
        <f>'3_MODEL_main'!N71</f>
        <v>109408.9000877403</v>
      </c>
      <c r="O6" s="57">
        <f>'3_MODEL_main'!O71</f>
        <v>116585.60407637624</v>
      </c>
      <c r="P6" s="57">
        <f>'3_MODEL_main'!P71</f>
        <v>152943.80801347812</v>
      </c>
      <c r="Q6" s="57">
        <f>'3_MODEL_main'!Q71</f>
        <v>158588.29946141399</v>
      </c>
      <c r="R6" s="57">
        <f>'3_MODEL_main'!R71</f>
        <v>162839.68279670522</v>
      </c>
      <c r="S6" s="57">
        <f>'3_MODEL_main'!S71</f>
        <v>165856.07627175751</v>
      </c>
      <c r="T6" s="57">
        <f>'3_MODEL_main'!T71</f>
        <v>167780.87206293637</v>
      </c>
      <c r="U6" s="57">
        <f>'3_MODEL_main'!U71</f>
        <v>168743.98632450553</v>
      </c>
      <c r="V6" s="57">
        <f>'3_MODEL_main'!V71</f>
        <v>168863.008709499</v>
      </c>
      <c r="W6" s="57">
        <f>'3_MODEL_main'!W71</f>
        <v>168244.25916134365</v>
      </c>
      <c r="X6" s="57">
        <f>'3_MODEL_main'!X71</f>
        <v>166983.75918925356</v>
      </c>
      <c r="Y6" s="57">
        <f>'3_MODEL_main'!Y71</f>
        <v>165168.12429352695</v>
      </c>
      <c r="Z6" s="57">
        <f>'3_MODEL_main'!Z71</f>
        <v>162875.38370066733</v>
      </c>
      <c r="AA6" s="57">
        <f>'3_MODEL_main'!AA71</f>
        <v>160175.73309974777</v>
      </c>
      <c r="AB6" s="57">
        <f>'3_MODEL_main'!AB71</f>
        <v>157132.2256378661</v>
      </c>
      <c r="AC6" s="57">
        <f>'3_MODEL_main'!AC71</f>
        <v>153801.40603134391</v>
      </c>
      <c r="AD6" s="57">
        <f>'3_MODEL_main'!AD71</f>
        <v>150233.89227811148</v>
      </c>
      <c r="AE6" s="57">
        <f>'3_MODEL_main'!AE71</f>
        <v>146474.90911329788</v>
      </c>
      <c r="AF6" s="57">
        <f>'3_MODEL_main'!AF71</f>
        <v>142564.77703235738</v>
      </c>
      <c r="AG6" s="57">
        <f>'3_MODEL_main'!AG71</f>
        <v>138539.36041221666</v>
      </c>
      <c r="AH6" s="57">
        <f>'3_MODEL_main'!AH71</f>
        <v>134430.4779891574</v>
      </c>
    </row>
    <row r="7" spans="1:34" x14ac:dyDescent="0.2">
      <c r="C7" t="s">
        <v>154</v>
      </c>
      <c r="D7" t="s">
        <v>320</v>
      </c>
      <c r="E7" s="63" t="s">
        <v>168</v>
      </c>
      <c r="G7" s="57">
        <f>'3_MODEL_main'!G90</f>
        <v>93654891.33395043</v>
      </c>
      <c r="I7" s="57">
        <f>'3_MODEL_main'!I90</f>
        <v>1456000.1946440984</v>
      </c>
      <c r="J7" s="57">
        <f>'3_MODEL_main'!J90</f>
        <v>1998598.3980219811</v>
      </c>
      <c r="K7" s="57">
        <f>'3_MODEL_main'!K90</f>
        <v>2463970.9818525114</v>
      </c>
      <c r="L7" s="57">
        <f>'3_MODEL_main'!L90</f>
        <v>2859899.9940103004</v>
      </c>
      <c r="M7" s="57">
        <f>'3_MODEL_main'!M90</f>
        <v>3193479.7845484614</v>
      </c>
      <c r="N7" s="57">
        <f>'3_MODEL_main'!N90</f>
        <v>2776938.9430856183</v>
      </c>
      <c r="O7" s="57">
        <f>'3_MODEL_main'!O90</f>
        <v>2959092.9431080921</v>
      </c>
      <c r="P7" s="57">
        <f>'3_MODEL_main'!P90</f>
        <v>3881911.0349874431</v>
      </c>
      <c r="Q7" s="57">
        <f>'3_MODEL_main'!Q90</f>
        <v>4025175.5052738348</v>
      </c>
      <c r="R7" s="57">
        <f>'3_MODEL_main'!R90</f>
        <v>4133081.0955529399</v>
      </c>
      <c r="S7" s="57">
        <f>'3_MODEL_main'!S90</f>
        <v>4209641.0509297401</v>
      </c>
      <c r="T7" s="57">
        <f>'3_MODEL_main'!T90</f>
        <v>4258494.8497132529</v>
      </c>
      <c r="U7" s="57">
        <f>'3_MODEL_main'!U90</f>
        <v>4282939.9313971708</v>
      </c>
      <c r="V7" s="57">
        <f>'3_MODEL_main'!V90</f>
        <v>4285960.8729816517</v>
      </c>
      <c r="W7" s="57">
        <f>'3_MODEL_main'!W90</f>
        <v>4270256.2117071915</v>
      </c>
      <c r="X7" s="57">
        <f>'3_MODEL_main'!X90</f>
        <v>4238263.0972763887</v>
      </c>
      <c r="Y7" s="57">
        <f>'3_MODEL_main'!Y90</f>
        <v>4192179.9427585658</v>
      </c>
      <c r="Z7" s="57">
        <f>'3_MODEL_main'!Z90</f>
        <v>4133987.230524011</v>
      </c>
      <c r="AA7" s="57">
        <f>'3_MODEL_main'!AA90</f>
        <v>4065466.6176633933</v>
      </c>
      <c r="AB7" s="57">
        <f>'3_MODEL_main'!AB90</f>
        <v>3988218.4743433055</v>
      </c>
      <c r="AC7" s="57">
        <f>'3_MODEL_main'!AC90</f>
        <v>3903677.9783660406</v>
      </c>
      <c r="AD7" s="57">
        <f>'3_MODEL_main'!AD90</f>
        <v>3813129.8797799116</v>
      </c>
      <c r="AE7" s="57">
        <f>'3_MODEL_main'!AE90</f>
        <v>3717722.0406699032</v>
      </c>
      <c r="AF7" s="57">
        <f>'3_MODEL_main'!AF90</f>
        <v>3618477.8471951098</v>
      </c>
      <c r="AG7" s="57">
        <f>'3_MODEL_main'!AG90</f>
        <v>3516307.5834812038</v>
      </c>
      <c r="AH7" s="57">
        <f>'3_MODEL_main'!AH90</f>
        <v>3412018.8500783183</v>
      </c>
    </row>
    <row r="8" spans="1:34" x14ac:dyDescent="0.2">
      <c r="C8" t="s">
        <v>155</v>
      </c>
      <c r="D8" t="s">
        <v>320</v>
      </c>
      <c r="E8" s="63" t="s">
        <v>168</v>
      </c>
      <c r="G8" s="57">
        <f>'3_MODEL_main'!G95</f>
        <v>72509.81743935452</v>
      </c>
      <c r="I8" s="57">
        <f>'3_MODEL_main'!I95</f>
        <v>1127.2695617023999</v>
      </c>
      <c r="J8" s="57">
        <f>'3_MODEL_main'!J95</f>
        <v>1547.3618399536447</v>
      </c>
      <c r="K8" s="57">
        <f>'3_MODEL_main'!K95</f>
        <v>1907.6642290142368</v>
      </c>
      <c r="L8" s="57">
        <f>'3_MODEL_main'!L95</f>
        <v>2214.2017732001241</v>
      </c>
      <c r="M8" s="57">
        <f>'3_MODEL_main'!M95</f>
        <v>2472.4670850153107</v>
      </c>
      <c r="N8" s="57">
        <f>'3_MODEL_main'!N95</f>
        <v>2149.9713782741828</v>
      </c>
      <c r="O8" s="57">
        <f>'3_MODEL_main'!O95</f>
        <v>2290.9992850856001</v>
      </c>
      <c r="P8" s="57">
        <f>'3_MODEL_main'!P95</f>
        <v>3005.4667348775015</v>
      </c>
      <c r="Q8" s="57">
        <f>'3_MODEL_main'!Q95</f>
        <v>3116.3854539967269</v>
      </c>
      <c r="R8" s="57">
        <f>'3_MODEL_main'!R95</f>
        <v>3199.9284974019515</v>
      </c>
      <c r="S8" s="57">
        <f>'3_MODEL_main'!S95</f>
        <v>3259.2030137509382</v>
      </c>
      <c r="T8" s="57">
        <f>'3_MODEL_main'!T95</f>
        <v>3297.0267726657844</v>
      </c>
      <c r="U8" s="57">
        <f>'3_MODEL_main'!U95</f>
        <v>3315.9527292810221</v>
      </c>
      <c r="V8" s="57">
        <f>'3_MODEL_main'!V95</f>
        <v>3318.2916132374889</v>
      </c>
      <c r="W8" s="57">
        <f>'3_MODEL_main'!W95</f>
        <v>3306.1326954731448</v>
      </c>
      <c r="X8" s="57">
        <f>'3_MODEL_main'!X95</f>
        <v>3281.3628745523997</v>
      </c>
      <c r="Y8" s="57">
        <f>'3_MODEL_main'!Y95</f>
        <v>3245.6842135286834</v>
      </c>
      <c r="Z8" s="57">
        <f>'3_MODEL_main'!Z95</f>
        <v>3200.630048387618</v>
      </c>
      <c r="AA8" s="57">
        <f>'3_MODEL_main'!AA95</f>
        <v>3147.5797799116235</v>
      </c>
      <c r="AB8" s="57">
        <f>'3_MODEL_main'!AB95</f>
        <v>3087.7724522868871</v>
      </c>
      <c r="AC8" s="57">
        <f>'3_MODEL_main'!AC95</f>
        <v>3022.3192138896979</v>
      </c>
      <c r="AD8" s="57">
        <f>'3_MODEL_main'!AD95</f>
        <v>2952.2147483946769</v>
      </c>
      <c r="AE8" s="57">
        <f>'3_MODEL_main'!AE95</f>
        <v>2878.3477575988391</v>
      </c>
      <c r="AF8" s="57">
        <f>'3_MODEL_main'!AF95</f>
        <v>2801.5105711126203</v>
      </c>
      <c r="AG8" s="57">
        <f>'3_MODEL_main'!AG95</f>
        <v>2722.4079522946704</v>
      </c>
      <c r="AH8" s="57">
        <f>'3_MODEL_main'!AH95</f>
        <v>2641.665164466744</v>
      </c>
    </row>
    <row r="9" spans="1:34" x14ac:dyDescent="0.2">
      <c r="C9" t="s">
        <v>154</v>
      </c>
      <c r="D9" t="s">
        <v>321</v>
      </c>
      <c r="E9" s="63" t="s">
        <v>168</v>
      </c>
      <c r="G9" s="57">
        <f>'3_MODEL_main'!G114</f>
        <v>4664373.3401595866</v>
      </c>
      <c r="I9" s="57">
        <f>'3_MODEL_main'!I114</f>
        <v>71474.447198653637</v>
      </c>
      <c r="J9" s="57">
        <f>'3_MODEL_main'!J114</f>
        <v>98109.930442077137</v>
      </c>
      <c r="K9" s="57">
        <f>'3_MODEL_main'!K114</f>
        <v>120954.49729006151</v>
      </c>
      <c r="L9" s="57">
        <f>'3_MODEL_main'!L114</f>
        <v>140390.15962848676</v>
      </c>
      <c r="M9" s="57">
        <f>'3_MODEL_main'!M114</f>
        <v>156765.17103231736</v>
      </c>
      <c r="N9" s="57">
        <f>'3_MODEL_main'!N114</f>
        <v>136317.58962714064</v>
      </c>
      <c r="O9" s="57">
        <f>'3_MODEL_main'!O114</f>
        <v>145259.2823802818</v>
      </c>
      <c r="P9" s="57">
        <f>'3_MODEL_main'!P114</f>
        <v>190559.36333896691</v>
      </c>
      <c r="Q9" s="57">
        <f>'3_MODEL_main'!Q114</f>
        <v>197592.01777936317</v>
      </c>
      <c r="R9" s="57">
        <f>'3_MODEL_main'!R114</f>
        <v>202888.94637860969</v>
      </c>
      <c r="S9" s="57">
        <f>'3_MODEL_main'!S114</f>
        <v>206647.154747892</v>
      </c>
      <c r="T9" s="57">
        <f>'3_MODEL_main'!T114</f>
        <v>209045.30070912675</v>
      </c>
      <c r="U9" s="57">
        <f>'3_MODEL_main'!U114</f>
        <v>210245.25178586715</v>
      </c>
      <c r="V9" s="57">
        <f>'3_MODEL_main'!V114</f>
        <v>210393.51743613314</v>
      </c>
      <c r="W9" s="57">
        <f>'3_MODEL_main'!W114</f>
        <v>209622.5657502471</v>
      </c>
      <c r="X9" s="57">
        <f>'3_MODEL_main'!X114</f>
        <v>214712.54762518744</v>
      </c>
      <c r="Y9" s="57">
        <f>'3_MODEL_main'!Y114</f>
        <v>212377.91221742754</v>
      </c>
      <c r="Z9" s="57">
        <f>'3_MODEL_main'!Z114</f>
        <v>209429.80567744552</v>
      </c>
      <c r="AA9" s="57">
        <f>'3_MODEL_main'!AA114</f>
        <v>205958.48714499609</v>
      </c>
      <c r="AB9" s="57">
        <f>'3_MODEL_main'!AB114</f>
        <v>202045.03171704608</v>
      </c>
      <c r="AC9" s="57">
        <f>'3_MODEL_main'!AC114</f>
        <v>197762.14580267496</v>
      </c>
      <c r="AD9" s="57">
        <f>'3_MODEL_main'!AD114</f>
        <v>193174.91510234802</v>
      </c>
      <c r="AE9" s="57">
        <f>'3_MODEL_main'!AE114</f>
        <v>188341.49053747041</v>
      </c>
      <c r="AF9" s="57">
        <f>'3_MODEL_main'!AF114</f>
        <v>183313.71704763622</v>
      </c>
      <c r="AG9" s="57">
        <f>'3_MODEL_main'!AG114</f>
        <v>178137.70979515329</v>
      </c>
      <c r="AH9" s="57">
        <f>'3_MODEL_main'!AH114</f>
        <v>172854.38196697689</v>
      </c>
    </row>
    <row r="10" spans="1:34" x14ac:dyDescent="0.2">
      <c r="C10" t="s">
        <v>155</v>
      </c>
      <c r="D10" t="s">
        <v>321</v>
      </c>
      <c r="E10" s="63" t="s">
        <v>168</v>
      </c>
      <c r="G10" s="57">
        <f>'3_MODEL_main'!G131</f>
        <v>3590546.5290706879</v>
      </c>
      <c r="I10" s="57">
        <f>'3_MODEL_main'!I131</f>
        <v>41399.269150107473</v>
      </c>
      <c r="J10" s="57">
        <f>'3_MODEL_main'!J131</f>
        <v>56827.267817028354</v>
      </c>
      <c r="K10" s="57">
        <f>'3_MODEL_main'!K131</f>
        <v>70059.467183451139</v>
      </c>
      <c r="L10" s="57">
        <f>'3_MODEL_main'!L131</f>
        <v>81317.138575908015</v>
      </c>
      <c r="M10" s="57">
        <f>'3_MODEL_main'!M131</f>
        <v>90801.999623540949</v>
      </c>
      <c r="N10" s="57">
        <f>'3_MODEL_main'!N131</f>
        <v>78958.260542209522</v>
      </c>
      <c r="O10" s="57">
        <f>'3_MODEL_main'!O131</f>
        <v>84137.547263075918</v>
      </c>
      <c r="P10" s="57">
        <f>'3_MODEL_main'!P131</f>
        <v>110376.55100966564</v>
      </c>
      <c r="Q10" s="57">
        <f>'3_MODEL_main'!Q131</f>
        <v>114450.06994658009</v>
      </c>
      <c r="R10" s="57">
        <f>'3_MODEL_main'!R131</f>
        <v>117518.21004106539</v>
      </c>
      <c r="S10" s="57">
        <f>'3_MODEL_main'!S131</f>
        <v>119695.08213931335</v>
      </c>
      <c r="T10" s="57">
        <f>'3_MODEL_main'!T131</f>
        <v>121084.16956683132</v>
      </c>
      <c r="U10" s="57">
        <f>'3_MODEL_main'!U131</f>
        <v>121779.23026788865</v>
      </c>
      <c r="V10" s="57">
        <f>'3_MODEL_main'!V131</f>
        <v>121865.12639221795</v>
      </c>
      <c r="W10" s="57">
        <f>'3_MODEL_main'!W131</f>
        <v>121418.58696083305</v>
      </c>
      <c r="X10" s="57">
        <f>'3_MODEL_main'!X131</f>
        <v>212797.239663246</v>
      </c>
      <c r="Y10" s="57">
        <f>'3_MODEL_main'!Y131</f>
        <v>210483.4691748897</v>
      </c>
      <c r="Z10" s="57">
        <f>'3_MODEL_main'!Z131</f>
        <v>207561.69479519434</v>
      </c>
      <c r="AA10" s="57">
        <f>'3_MODEL_main'!AA131</f>
        <v>204121.37102526514</v>
      </c>
      <c r="AB10" s="57">
        <f>'3_MODEL_main'!AB131</f>
        <v>200242.85020427388</v>
      </c>
      <c r="AC10" s="57">
        <f>'3_MODEL_main'!AC131</f>
        <v>195998.19059470776</v>
      </c>
      <c r="AD10" s="57">
        <f>'3_MODEL_main'!AD131</f>
        <v>191451.89769272489</v>
      </c>
      <c r="AE10" s="57">
        <f>'3_MODEL_main'!AE131</f>
        <v>186661.60404203294</v>
      </c>
      <c r="AF10" s="57">
        <f>'3_MODEL_main'!AF131</f>
        <v>181678.69242486297</v>
      </c>
      <c r="AG10" s="57">
        <f>'3_MODEL_main'!AG131</f>
        <v>176548.86692914122</v>
      </c>
      <c r="AH10" s="57">
        <f>'3_MODEL_main'!AH131</f>
        <v>171312.6760446321</v>
      </c>
    </row>
    <row r="11" spans="1:34" s="63" customFormat="1" x14ac:dyDescent="0.2">
      <c r="C11" s="63" t="s">
        <v>360</v>
      </c>
      <c r="D11" s="63" t="s">
        <v>321</v>
      </c>
      <c r="E11" s="63" t="s">
        <v>168</v>
      </c>
      <c r="G11" s="57">
        <f>'3_MODEL_main'!G144</f>
        <v>0</v>
      </c>
      <c r="I11" s="57">
        <f>'3_MODEL_main'!I144</f>
        <v>0</v>
      </c>
      <c r="J11" s="57">
        <f>'3_MODEL_main'!J144</f>
        <v>0</v>
      </c>
      <c r="K11" s="57">
        <f>'3_MODEL_main'!K144</f>
        <v>0</v>
      </c>
      <c r="L11" s="57">
        <f>'3_MODEL_main'!L144</f>
        <v>0</v>
      </c>
      <c r="M11" s="57">
        <f>'3_MODEL_main'!M144</f>
        <v>0</v>
      </c>
      <c r="N11" s="57">
        <f>'3_MODEL_main'!N144</f>
        <v>0</v>
      </c>
      <c r="O11" s="57">
        <f>'3_MODEL_main'!O144</f>
        <v>0</v>
      </c>
      <c r="P11" s="57">
        <f>'3_MODEL_main'!P144</f>
        <v>0</v>
      </c>
      <c r="Q11" s="57">
        <f>'3_MODEL_main'!Q144</f>
        <v>0</v>
      </c>
      <c r="R11" s="57">
        <f>'3_MODEL_main'!R144</f>
        <v>0</v>
      </c>
      <c r="S11" s="57">
        <f>'3_MODEL_main'!S144</f>
        <v>0</v>
      </c>
      <c r="T11" s="57">
        <f>'3_MODEL_main'!T144</f>
        <v>0</v>
      </c>
      <c r="U11" s="57">
        <f>'3_MODEL_main'!U144</f>
        <v>0</v>
      </c>
      <c r="V11" s="57">
        <f>'3_MODEL_main'!V144</f>
        <v>0</v>
      </c>
      <c r="W11" s="57">
        <f>'3_MODEL_main'!W144</f>
        <v>0</v>
      </c>
      <c r="X11" s="57">
        <f>'3_MODEL_main'!X144</f>
        <v>0</v>
      </c>
      <c r="Y11" s="57">
        <f>'3_MODEL_main'!Y144</f>
        <v>0</v>
      </c>
      <c r="Z11" s="57">
        <f>'3_MODEL_main'!Z144</f>
        <v>0</v>
      </c>
      <c r="AA11" s="57">
        <f>'3_MODEL_main'!AA144</f>
        <v>0</v>
      </c>
      <c r="AB11" s="57">
        <f>'3_MODEL_main'!AB144</f>
        <v>0</v>
      </c>
      <c r="AC11" s="57">
        <f>'3_MODEL_main'!AC144</f>
        <v>0</v>
      </c>
      <c r="AD11" s="57">
        <f>'3_MODEL_main'!AD144</f>
        <v>0</v>
      </c>
      <c r="AE11" s="57">
        <f>'3_MODEL_main'!AE144</f>
        <v>0</v>
      </c>
      <c r="AF11" s="57">
        <f>'3_MODEL_main'!AF144</f>
        <v>0</v>
      </c>
      <c r="AG11" s="57">
        <f>'3_MODEL_main'!AG144</f>
        <v>0</v>
      </c>
      <c r="AH11" s="57">
        <f>'3_MODEL_main'!AH144</f>
        <v>0</v>
      </c>
    </row>
    <row r="12" spans="1:34" ht="32" x14ac:dyDescent="0.2">
      <c r="D12" s="33" t="s">
        <v>363</v>
      </c>
      <c r="E12" s="63" t="s">
        <v>168</v>
      </c>
      <c r="G12" s="57">
        <f>-'2_MODEL_Costs'!G33</f>
        <v>-54825955.543339252</v>
      </c>
      <c r="I12" s="57">
        <f>-'2_MODEL_Costs'!I33</f>
        <v>-734800</v>
      </c>
      <c r="J12" s="57">
        <f>-'2_MODEL_Costs'!J33</f>
        <v>-829018.69158878503</v>
      </c>
      <c r="K12" s="57">
        <f>-'2_MODEL_Costs'!K33</f>
        <v>-875010.91798410332</v>
      </c>
      <c r="L12" s="57">
        <f>-'2_MODEL_Costs'!L33</f>
        <v>-896131.80925077724</v>
      </c>
      <c r="M12" s="57">
        <f>-'2_MODEL_Costs'!M33</f>
        <v>-1311264.2904672865</v>
      </c>
      <c r="N12" s="57">
        <f>-'2_MODEL_Costs'!N33</f>
        <v>-14925331.837530347</v>
      </c>
      <c r="O12" s="57">
        <f>-'2_MODEL_Costs'!O33</f>
        <v>-14087840.6130399</v>
      </c>
      <c r="P12" s="57">
        <f>-'2_MODEL_Costs'!P33</f>
        <v>-1411259.8963153132</v>
      </c>
      <c r="Q12" s="57">
        <f>-'2_MODEL_Costs'!Q33</f>
        <v>-1391176.3626418114</v>
      </c>
      <c r="R12" s="57">
        <f>-'2_MODEL_Costs'!R33</f>
        <v>-2727514.9571575164</v>
      </c>
      <c r="S12" s="57">
        <f>-'2_MODEL_Costs'!S33</f>
        <v>-1341305.02476206</v>
      </c>
      <c r="T12" s="57">
        <f>-'2_MODEL_Costs'!T33</f>
        <v>-1308072.9962939424</v>
      </c>
      <c r="U12" s="57">
        <f>-'2_MODEL_Costs'!U33</f>
        <v>-1248472.8269930996</v>
      </c>
      <c r="V12" s="57">
        <f>-'2_MODEL_Costs'!V33</f>
        <v>-1191072.4547744696</v>
      </c>
      <c r="W12" s="57">
        <f>-'2_MODEL_Costs'!W33</f>
        <v>-1135839.1354915414</v>
      </c>
      <c r="X12" s="57">
        <f>-'2_MODEL_Costs'!X33</f>
        <v>-1082734.9944776213</v>
      </c>
      <c r="Y12" s="57">
        <f>-'2_MODEL_Costs'!Y33</f>
        <v>-1031717.837968878</v>
      </c>
      <c r="Z12" s="57">
        <f>-'2_MODEL_Costs'!Z33</f>
        <v>-982741.88031773735</v>
      </c>
      <c r="AA12" s="57">
        <f>-'2_MODEL_Costs'!AA33</f>
        <v>-935758.39454195113</v>
      </c>
      <c r="AB12" s="57">
        <f>-'2_MODEL_Costs'!AB33</f>
        <v>-890716.29312781745</v>
      </c>
      <c r="AC12" s="57">
        <f>-'2_MODEL_Costs'!AC33</f>
        <v>-1493610.1524635984</v>
      </c>
      <c r="AD12" s="57">
        <f>-'2_MODEL_Costs'!AD33</f>
        <v>-806243.13747059624</v>
      </c>
      <c r="AE12" s="57">
        <f>-'2_MODEL_Costs'!AE33</f>
        <v>-766702.47948130779</v>
      </c>
      <c r="AF12" s="57">
        <f>-'2_MODEL_Costs'!AF33</f>
        <v>-728884.76602271153</v>
      </c>
      <c r="AG12" s="57">
        <f>-'2_MODEL_Costs'!AG33</f>
        <v>-692733.7931760808</v>
      </c>
      <c r="AH12" s="57">
        <f>-'2_MODEL_Costs'!AH33</f>
        <v>-658193.33686269657</v>
      </c>
    </row>
    <row r="13" spans="1:34" s="1" customFormat="1" x14ac:dyDescent="0.2">
      <c r="D13" s="1" t="s">
        <v>135</v>
      </c>
      <c r="E13" s="63" t="s">
        <v>168</v>
      </c>
      <c r="G13" s="26">
        <f>SUM(G4:G12)</f>
        <v>186607672.41914394</v>
      </c>
      <c r="I13" s="26">
        <f t="shared" ref="I13:AG13" si="2">SUM(I4:I12)</f>
        <v>1337810.984179398</v>
      </c>
      <c r="J13" s="26">
        <f t="shared" si="2"/>
        <v>4338059.7479978018</v>
      </c>
      <c r="K13" s="26">
        <f t="shared" si="2"/>
        <v>5495218.73474361</v>
      </c>
      <c r="L13" s="26">
        <f t="shared" si="2"/>
        <v>6497713.0830985289</v>
      </c>
      <c r="M13" s="26">
        <f t="shared" si="2"/>
        <v>6945001.2496670512</v>
      </c>
      <c r="N13" s="26">
        <f t="shared" si="2"/>
        <v>-7745970.4486840582</v>
      </c>
      <c r="O13" s="26">
        <f t="shared" si="2"/>
        <v>-6437547.3232813645</v>
      </c>
      <c r="P13" s="26">
        <f t="shared" si="2"/>
        <v>8624841.6285337321</v>
      </c>
      <c r="Q13" s="26">
        <f t="shared" si="2"/>
        <v>9015314.0012016241</v>
      </c>
      <c r="R13" s="26">
        <f t="shared" si="2"/>
        <v>7957949.1478087679</v>
      </c>
      <c r="S13" s="26">
        <f t="shared" si="2"/>
        <v>9542093.3687958233</v>
      </c>
      <c r="T13" s="26">
        <f t="shared" si="2"/>
        <v>9701629.5604774617</v>
      </c>
      <c r="U13" s="26">
        <f t="shared" si="2"/>
        <v>9824428.8045318592</v>
      </c>
      <c r="V13" s="26">
        <f t="shared" si="2"/>
        <v>9889639.3407465462</v>
      </c>
      <c r="W13" s="26">
        <f t="shared" si="2"/>
        <v>9904270.5779244862</v>
      </c>
      <c r="X13" s="26">
        <f t="shared" si="2"/>
        <v>9973610.1218490899</v>
      </c>
      <c r="Y13" s="26">
        <f t="shared" si="2"/>
        <v>9904410.2422067076</v>
      </c>
      <c r="Z13" s="26">
        <f t="shared" si="2"/>
        <v>9801578.9994525872</v>
      </c>
      <c r="AA13" s="26">
        <f t="shared" si="2"/>
        <v>9669812.923942551</v>
      </c>
      <c r="AB13" s="26">
        <f t="shared" si="2"/>
        <v>9513337.9839151688</v>
      </c>
      <c r="AC13" s="26">
        <f t="shared" si="2"/>
        <v>8689903.5468878616</v>
      </c>
      <c r="AD13" s="26">
        <f t="shared" si="2"/>
        <v>9141057.9714202564</v>
      </c>
      <c r="AE13" s="26">
        <f t="shared" si="2"/>
        <v>8931708.4504470378</v>
      </c>
      <c r="AF13" s="26">
        <f t="shared" si="2"/>
        <v>8710628.1007392872</v>
      </c>
      <c r="AG13" s="26">
        <f t="shared" si="2"/>
        <v>8480247.7815835699</v>
      </c>
      <c r="AH13" s="26">
        <f t="shared" ref="AH13" si="3">SUM(AH4:AH12)</f>
        <v>8242730.5020958669</v>
      </c>
    </row>
    <row r="15" spans="1:34" x14ac:dyDescent="0.2">
      <c r="A15" s="1" t="s">
        <v>328</v>
      </c>
    </row>
    <row r="16" spans="1:34" x14ac:dyDescent="0.2">
      <c r="D16" t="s">
        <v>437</v>
      </c>
      <c r="E16" s="63" t="s">
        <v>168</v>
      </c>
      <c r="G16" s="62">
        <f>SUM(H16:O16)</f>
        <v>351462393.87024164</v>
      </c>
      <c r="H16" s="57">
        <f>'2_MODEL_Costs'!H12</f>
        <v>21400000</v>
      </c>
      <c r="I16" s="57">
        <f>'2_MODEL_Costs'!I12</f>
        <v>91068877.5</v>
      </c>
      <c r="J16" s="57">
        <f>'2_MODEL_Costs'!J12</f>
        <v>85111100.467289716</v>
      </c>
      <c r="K16" s="57">
        <f>'2_MODEL_Costs'!K12</f>
        <v>79543084.548868895</v>
      </c>
      <c r="L16" s="57">
        <f>'2_MODEL_Costs'!L12</f>
        <v>74339331.354083076</v>
      </c>
      <c r="M16" s="57">
        <f>'2_MODEL_Costs'!M12</f>
        <v>0</v>
      </c>
      <c r="N16" s="57">
        <f>'2_MODEL_Costs'!N12</f>
        <v>0</v>
      </c>
      <c r="O16" s="57">
        <f>'2_MODEL_Costs'!O12</f>
        <v>0</v>
      </c>
    </row>
    <row r="18" spans="1:7" x14ac:dyDescent="0.2">
      <c r="A18" s="1" t="s">
        <v>366</v>
      </c>
    </row>
    <row r="19" spans="1:7" ht="21" x14ac:dyDescent="0.25">
      <c r="D19" s="72" t="s">
        <v>364</v>
      </c>
      <c r="E19" s="73" t="s">
        <v>171</v>
      </c>
      <c r="F19" s="73"/>
      <c r="G19" s="74">
        <f>G13/G16</f>
        <v>0.53094634212284653</v>
      </c>
    </row>
    <row r="20" spans="1:7" ht="21" x14ac:dyDescent="0.25">
      <c r="D20" s="72" t="s">
        <v>172</v>
      </c>
      <c r="E20" s="73" t="s">
        <v>168</v>
      </c>
      <c r="F20" s="73"/>
      <c r="G20" s="75">
        <f>SUM(G13,-G16)</f>
        <v>-164854721.4510977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63FC-DF1B-4227-ABD0-CCE19710AD90}">
  <dimension ref="A1:AD62"/>
  <sheetViews>
    <sheetView topLeftCell="A43" workbookViewId="0">
      <selection activeCell="C57" sqref="C57"/>
    </sheetView>
  </sheetViews>
  <sheetFormatPr baseColWidth="10" defaultColWidth="8.83203125" defaultRowHeight="15" x14ac:dyDescent="0.2"/>
  <cols>
    <col min="3" max="3" width="18.6640625" customWidth="1"/>
    <col min="4" max="4" width="14.83203125" customWidth="1"/>
    <col min="5" max="5" width="16.5" bestFit="1" customWidth="1"/>
    <col min="6" max="7" width="11.5" bestFit="1" customWidth="1"/>
    <col min="8" max="8" width="28.5" customWidth="1"/>
    <col min="9" max="9" width="18.1640625" bestFit="1" customWidth="1"/>
    <col min="10" max="10" width="15.33203125" bestFit="1" customWidth="1"/>
    <col min="11" max="11" width="28.5" bestFit="1" customWidth="1"/>
    <col min="12" max="12" width="18" bestFit="1" customWidth="1"/>
    <col min="13" max="13" width="16.33203125" bestFit="1" customWidth="1"/>
    <col min="14" max="28" width="13.33203125" bestFit="1" customWidth="1"/>
  </cols>
  <sheetData>
    <row r="1" spans="1:13" s="63" customFormat="1" x14ac:dyDescent="0.2">
      <c r="A1" s="64" t="s">
        <v>400</v>
      </c>
    </row>
    <row r="2" spans="1:13" x14ac:dyDescent="0.2">
      <c r="B2" t="s">
        <v>374</v>
      </c>
      <c r="G2" t="s">
        <v>385</v>
      </c>
    </row>
    <row r="3" spans="1:13" x14ac:dyDescent="0.2">
      <c r="C3" s="64" t="s">
        <v>384</v>
      </c>
      <c r="D3" s="64" t="s">
        <v>383</v>
      </c>
      <c r="E3" s="64" t="s">
        <v>5</v>
      </c>
      <c r="H3" s="66" t="s">
        <v>386</v>
      </c>
      <c r="I3" s="11">
        <f>'3_MODEL_main'!G42</f>
        <v>176981648.31979364</v>
      </c>
    </row>
    <row r="4" spans="1:13" x14ac:dyDescent="0.2">
      <c r="C4" t="s">
        <v>367</v>
      </c>
      <c r="D4" s="11">
        <f>SUM('3_MODEL_main'!G101,'3_MODEL_main'!G119,'3_MODEL_main'!G134)</f>
        <v>1244.1428352830603</v>
      </c>
      <c r="E4" s="24">
        <f>D4*PARAMS!C31</f>
        <v>10326385.532849401</v>
      </c>
      <c r="H4" t="s">
        <v>387</v>
      </c>
      <c r="I4" s="24">
        <f>'3_MODEL_main'!G43</f>
        <v>297584306.36164314</v>
      </c>
    </row>
    <row r="5" spans="1:13" x14ac:dyDescent="0.2">
      <c r="C5" s="63" t="s">
        <v>368</v>
      </c>
      <c r="D5" s="11">
        <f>SUM('3_MODEL_main'!G102,'3_MODEL_main'!G120,'3_MODEL_main'!G135)</f>
        <v>113.22166648169198</v>
      </c>
      <c r="E5" s="24">
        <f>D5*PARAMS!C32</f>
        <v>226443.33296338396</v>
      </c>
      <c r="H5" t="s">
        <v>388</v>
      </c>
      <c r="I5" s="24">
        <f>'3_MODEL_main'!G44</f>
        <v>107121732.59495288</v>
      </c>
    </row>
    <row r="6" spans="1:13" x14ac:dyDescent="0.2">
      <c r="C6" s="63" t="s">
        <v>369</v>
      </c>
      <c r="D6" s="11">
        <f>SUM('3_MODEL_main'!G103,'3_MODEL_main'!G121,'3_MODEL_main'!G136)</f>
        <v>8.5516574634285103</v>
      </c>
      <c r="E6" s="24">
        <f>D6*PARAMS!C33</f>
        <v>3230816.1896832911</v>
      </c>
    </row>
    <row r="7" spans="1:13" x14ac:dyDescent="0.2">
      <c r="C7" s="63" t="s">
        <v>370</v>
      </c>
      <c r="D7" s="11">
        <f>SUM('3_MODEL_main'!G104,'3_MODEL_main'!G122,'3_MODEL_main'!G137)</f>
        <v>3.5021968254736358</v>
      </c>
      <c r="E7" s="24">
        <f>D7*PARAMS!C34</f>
        <v>171257.42476566078</v>
      </c>
      <c r="H7" t="s">
        <v>389</v>
      </c>
      <c r="I7" s="11">
        <f>'3_MODEL_main'!G60</f>
        <v>1862159660.7971265</v>
      </c>
      <c r="J7" s="76">
        <f>I7/18</f>
        <v>103453314.48872925</v>
      </c>
    </row>
    <row r="8" spans="1:13" x14ac:dyDescent="0.2">
      <c r="C8" t="s">
        <v>371</v>
      </c>
      <c r="D8" s="11">
        <f>SUM('3_MODEL_main'!G105,'3_MODEL_main'!G123)</f>
        <v>6013691.9507884709</v>
      </c>
      <c r="E8" s="24">
        <f>SUM('3_MODEL_main'!I129:AG129,'3_MODEL_main'!I112:AG112)</f>
        <v>9028398.6836962774</v>
      </c>
      <c r="H8" t="s">
        <v>390</v>
      </c>
      <c r="I8" s="24">
        <f>'3_MODEL_main'!G61</f>
        <v>78769353.651718438</v>
      </c>
    </row>
    <row r="9" spans="1:13" x14ac:dyDescent="0.2">
      <c r="C9" t="s">
        <v>173</v>
      </c>
      <c r="E9" s="25">
        <f>SUM(E4:E8)</f>
        <v>22983301.163958017</v>
      </c>
      <c r="H9" s="63" t="s">
        <v>388</v>
      </c>
      <c r="I9" s="24">
        <f>'3_MODEL_main'!G62</f>
        <v>28639655.749960963</v>
      </c>
    </row>
    <row r="10" spans="1:13" x14ac:dyDescent="0.2">
      <c r="C10" t="s">
        <v>372</v>
      </c>
      <c r="E10" s="24">
        <f>SUM('3_MODEL_main'!G114,'3_MODEL_main'!G131,'3_MODEL_main'!G144)</f>
        <v>8254919.8692302741</v>
      </c>
    </row>
    <row r="12" spans="1:13" x14ac:dyDescent="0.2">
      <c r="B12" t="s">
        <v>373</v>
      </c>
    </row>
    <row r="13" spans="1:13" x14ac:dyDescent="0.2">
      <c r="C13" s="64" t="s">
        <v>384</v>
      </c>
      <c r="D13" s="64" t="s">
        <v>383</v>
      </c>
      <c r="E13" s="64" t="s">
        <v>5</v>
      </c>
      <c r="L13" s="65"/>
      <c r="M13" s="67"/>
    </row>
    <row r="14" spans="1:13" x14ac:dyDescent="0.2">
      <c r="C14" s="63" t="s">
        <v>367</v>
      </c>
      <c r="D14" s="11">
        <f>'3_MODEL_main'!G101</f>
        <v>1076.9607808481644</v>
      </c>
      <c r="E14" s="25">
        <f>'3_MODEL_main'!G107</f>
        <v>8938774.4810397662</v>
      </c>
    </row>
    <row r="15" spans="1:13" x14ac:dyDescent="0.2">
      <c r="C15" s="63" t="s">
        <v>368</v>
      </c>
      <c r="D15" s="11">
        <f>'3_MODEL_main'!G102</f>
        <v>95.217445234857038</v>
      </c>
      <c r="E15" s="25">
        <f>'3_MODEL_main'!G108</f>
        <v>190434.8904697141</v>
      </c>
    </row>
    <row r="16" spans="1:13" x14ac:dyDescent="0.2">
      <c r="C16" s="63" t="s">
        <v>369</v>
      </c>
      <c r="D16" s="23">
        <f>'3_MODEL_main'!G103</f>
        <v>7.7800479814212986</v>
      </c>
      <c r="E16" s="25">
        <f>'3_MODEL_main'!G109</f>
        <v>2939302.1273809662</v>
      </c>
      <c r="M16" s="67"/>
    </row>
    <row r="17" spans="2:13" x14ac:dyDescent="0.2">
      <c r="C17" s="63" t="s">
        <v>370</v>
      </c>
      <c r="D17" s="23">
        <f>'3_MODEL_main'!G104</f>
        <v>3.5021968254736358</v>
      </c>
      <c r="E17" s="25">
        <f>'3_MODEL_main'!G110</f>
        <v>171257.42476566078</v>
      </c>
      <c r="J17" s="63"/>
      <c r="K17" s="63"/>
      <c r="L17" s="24"/>
    </row>
    <row r="18" spans="2:13" x14ac:dyDescent="0.2">
      <c r="C18" s="63" t="s">
        <v>371</v>
      </c>
      <c r="D18" s="11">
        <f>'3_MODEL_main'!G105</f>
        <v>404777.30387571111</v>
      </c>
      <c r="E18" s="25">
        <f>'3_MODEL_main'!G112</f>
        <v>665896.27401527448</v>
      </c>
      <c r="L18" s="24"/>
      <c r="M18" s="67"/>
    </row>
    <row r="19" spans="2:13" x14ac:dyDescent="0.2">
      <c r="C19" s="63" t="s">
        <v>173</v>
      </c>
      <c r="E19" s="25">
        <f>SUM(E14:E18)</f>
        <v>12905665.197671384</v>
      </c>
      <c r="L19" s="24"/>
    </row>
    <row r="20" spans="2:13" x14ac:dyDescent="0.2">
      <c r="C20" s="63" t="s">
        <v>372</v>
      </c>
      <c r="E20" s="24">
        <f>'3_MODEL_main'!G114</f>
        <v>4664373.3401595866</v>
      </c>
      <c r="L20" s="24"/>
    </row>
    <row r="21" spans="2:13" x14ac:dyDescent="0.2">
      <c r="L21" s="24"/>
    </row>
    <row r="22" spans="2:13" x14ac:dyDescent="0.2">
      <c r="B22" t="s">
        <v>375</v>
      </c>
      <c r="L22" s="24"/>
    </row>
    <row r="23" spans="2:13" x14ac:dyDescent="0.2">
      <c r="C23" s="64" t="s">
        <v>384</v>
      </c>
      <c r="D23" s="64" t="s">
        <v>383</v>
      </c>
      <c r="E23" s="64" t="s">
        <v>5</v>
      </c>
      <c r="L23" s="24"/>
    </row>
    <row r="24" spans="2:13" x14ac:dyDescent="0.2">
      <c r="C24" s="63" t="s">
        <v>367</v>
      </c>
      <c r="D24" s="11">
        <f>'3_MODEL_main'!G119</f>
        <v>167.18205443489592</v>
      </c>
      <c r="E24" s="24">
        <f>'3_MODEL_main'!G125</f>
        <v>1387611.0518096359</v>
      </c>
      <c r="L24" s="65"/>
    </row>
    <row r="25" spans="2:13" x14ac:dyDescent="0.2">
      <c r="C25" s="63" t="s">
        <v>368</v>
      </c>
      <c r="D25" s="23">
        <f>'3_MODEL_main'!G120</f>
        <v>18.004221246834948</v>
      </c>
      <c r="E25" s="24">
        <f>'3_MODEL_main'!G126</f>
        <v>36008.442493669892</v>
      </c>
    </row>
    <row r="26" spans="2:13" x14ac:dyDescent="0.2">
      <c r="C26" s="63" t="s">
        <v>369</v>
      </c>
      <c r="D26" s="23">
        <f>'3_MODEL_main'!G121</f>
        <v>0.77160948200721191</v>
      </c>
      <c r="E26" s="24">
        <f>'3_MODEL_main'!G127</f>
        <v>291514.06230232469</v>
      </c>
    </row>
    <row r="27" spans="2:13" x14ac:dyDescent="0.2">
      <c r="C27" s="63" t="s">
        <v>370</v>
      </c>
      <c r="D27" s="11">
        <f>'3_MODEL_main'!G122</f>
        <v>0</v>
      </c>
      <c r="E27" s="24">
        <f>'3_MODEL_main'!G128</f>
        <v>0</v>
      </c>
    </row>
    <row r="28" spans="2:13" x14ac:dyDescent="0.2">
      <c r="C28" s="63" t="s">
        <v>371</v>
      </c>
      <c r="D28" s="11">
        <f>'3_MODEL_main'!G123</f>
        <v>5608914.6469127601</v>
      </c>
      <c r="E28" s="24">
        <f>'3_MODEL_main'!G129</f>
        <v>9227185.7361739427</v>
      </c>
      <c r="I28" s="68"/>
      <c r="J28" s="68"/>
      <c r="K28" s="68"/>
      <c r="L28" s="68"/>
    </row>
    <row r="29" spans="2:13" x14ac:dyDescent="0.2">
      <c r="C29" s="63" t="s">
        <v>173</v>
      </c>
      <c r="E29" s="25">
        <f>SUM(E24:E28)</f>
        <v>10942319.292779572</v>
      </c>
      <c r="I29" s="68"/>
      <c r="J29" s="69"/>
      <c r="K29" s="70"/>
      <c r="L29" s="69"/>
    </row>
    <row r="30" spans="2:13" x14ac:dyDescent="0.2">
      <c r="C30" s="63" t="s">
        <v>372</v>
      </c>
      <c r="E30" s="24">
        <f>'3_MODEL_main'!G131</f>
        <v>3590546.5290706879</v>
      </c>
      <c r="I30" s="68"/>
      <c r="J30" s="69"/>
      <c r="K30" s="70"/>
      <c r="L30" s="69"/>
    </row>
    <row r="31" spans="2:13" s="63" customFormat="1" x14ac:dyDescent="0.2">
      <c r="E31" s="24"/>
      <c r="I31" s="68"/>
      <c r="J31" s="69"/>
      <c r="K31" s="70"/>
      <c r="L31" s="69"/>
    </row>
    <row r="32" spans="2:13" x14ac:dyDescent="0.2">
      <c r="B32" t="s">
        <v>376</v>
      </c>
      <c r="I32" s="68"/>
      <c r="J32" s="68"/>
      <c r="K32" s="71"/>
      <c r="L32" s="69"/>
    </row>
    <row r="33" spans="2:12" x14ac:dyDescent="0.2">
      <c r="C33" s="64" t="s">
        <v>384</v>
      </c>
      <c r="D33" s="64" t="s">
        <v>383</v>
      </c>
      <c r="E33" s="64" t="s">
        <v>5</v>
      </c>
      <c r="I33" s="68"/>
      <c r="J33" s="68"/>
      <c r="K33" s="71"/>
      <c r="L33" s="69"/>
    </row>
    <row r="34" spans="2:12" x14ac:dyDescent="0.2">
      <c r="C34" s="63" t="s">
        <v>367</v>
      </c>
      <c r="D34" s="31">
        <f>'3_MODEL_main'!G134</f>
        <v>0</v>
      </c>
      <c r="E34" s="24">
        <f>'3_MODEL_main'!G139</f>
        <v>0</v>
      </c>
      <c r="I34" s="68"/>
      <c r="J34" s="68"/>
      <c r="K34" s="68"/>
      <c r="L34" s="68"/>
    </row>
    <row r="35" spans="2:12" x14ac:dyDescent="0.2">
      <c r="C35" s="63" t="s">
        <v>368</v>
      </c>
      <c r="D35" s="31">
        <f>'3_MODEL_main'!G135</f>
        <v>0</v>
      </c>
      <c r="E35" s="24">
        <f>'3_MODEL_main'!G140</f>
        <v>0</v>
      </c>
    </row>
    <row r="36" spans="2:12" x14ac:dyDescent="0.2">
      <c r="C36" s="63" t="s">
        <v>369</v>
      </c>
      <c r="D36" s="31">
        <f>'3_MODEL_main'!G136</f>
        <v>0</v>
      </c>
      <c r="E36" s="24">
        <f>'3_MODEL_main'!G141</f>
        <v>0</v>
      </c>
    </row>
    <row r="37" spans="2:12" x14ac:dyDescent="0.2">
      <c r="C37" s="63" t="s">
        <v>370</v>
      </c>
      <c r="D37" s="31">
        <f>'3_MODEL_main'!G137</f>
        <v>0</v>
      </c>
      <c r="E37" s="24">
        <f>'3_MODEL_main'!G142</f>
        <v>0</v>
      </c>
    </row>
    <row r="38" spans="2:12" x14ac:dyDescent="0.2">
      <c r="C38" s="63" t="s">
        <v>371</v>
      </c>
      <c r="D38" t="s">
        <v>377</v>
      </c>
      <c r="E38" s="24" t="s">
        <v>377</v>
      </c>
    </row>
    <row r="39" spans="2:12" x14ac:dyDescent="0.2">
      <c r="C39" s="63" t="s">
        <v>173</v>
      </c>
      <c r="E39" s="24">
        <f>SUM(E34:E38)</f>
        <v>0</v>
      </c>
    </row>
    <row r="40" spans="2:12" x14ac:dyDescent="0.2">
      <c r="C40" s="63" t="s">
        <v>372</v>
      </c>
      <c r="E40" s="24">
        <f>'3_MODEL_main'!G144</f>
        <v>0</v>
      </c>
    </row>
    <row r="42" spans="2:12" x14ac:dyDescent="0.2">
      <c r="B42" t="s">
        <v>379</v>
      </c>
    </row>
    <row r="43" spans="2:12" x14ac:dyDescent="0.2">
      <c r="C43" s="64" t="s">
        <v>379</v>
      </c>
      <c r="D43" s="27" t="s">
        <v>382</v>
      </c>
      <c r="E43" s="27" t="s">
        <v>438</v>
      </c>
    </row>
    <row r="44" spans="2:12" x14ac:dyDescent="0.2">
      <c r="C44" s="63" t="s">
        <v>180</v>
      </c>
      <c r="D44" s="24">
        <v>0</v>
      </c>
      <c r="E44" s="24">
        <f>'2_MODEL_Costs'!G14</f>
        <v>0</v>
      </c>
    </row>
    <row r="45" spans="2:12" x14ac:dyDescent="0.2">
      <c r="C45" s="63" t="s">
        <v>174</v>
      </c>
      <c r="D45" s="24">
        <v>0</v>
      </c>
      <c r="E45" s="24">
        <f>'2_MODEL_Costs'!G15</f>
        <v>0</v>
      </c>
    </row>
    <row r="46" spans="2:12" x14ac:dyDescent="0.2">
      <c r="C46" s="63" t="s">
        <v>408</v>
      </c>
      <c r="D46" s="24">
        <v>0</v>
      </c>
      <c r="E46" s="24">
        <f>'2_MODEL_Costs'!G16</f>
        <v>0</v>
      </c>
    </row>
    <row r="47" spans="2:12" x14ac:dyDescent="0.2">
      <c r="C47" s="63" t="s">
        <v>2</v>
      </c>
      <c r="D47" s="24">
        <v>0</v>
      </c>
      <c r="E47" s="24">
        <f>'2_MODEL_Costs'!G17</f>
        <v>0</v>
      </c>
    </row>
    <row r="48" spans="2:12" x14ac:dyDescent="0.2">
      <c r="C48" s="63" t="s">
        <v>175</v>
      </c>
      <c r="D48" s="24">
        <v>0</v>
      </c>
      <c r="E48" s="24">
        <f>'2_MODEL_Costs'!G18</f>
        <v>0</v>
      </c>
    </row>
    <row r="49" spans="2:30" x14ac:dyDescent="0.2">
      <c r="C49" s="63" t="s">
        <v>176</v>
      </c>
      <c r="D49" s="24">
        <v>0</v>
      </c>
      <c r="E49" s="24">
        <f>'2_MODEL_Costs'!G19</f>
        <v>0</v>
      </c>
    </row>
    <row r="50" spans="2:30" x14ac:dyDescent="0.2">
      <c r="C50" s="63" t="s">
        <v>181</v>
      </c>
      <c r="D50" s="24">
        <v>0</v>
      </c>
      <c r="E50" s="24">
        <f>'2_MODEL_Costs'!G21</f>
        <v>29775000</v>
      </c>
    </row>
    <row r="51" spans="2:30" x14ac:dyDescent="0.2">
      <c r="C51" t="s">
        <v>380</v>
      </c>
      <c r="D51" s="24">
        <f>'2_MODEL_Costs'!G26</f>
        <v>38625000</v>
      </c>
      <c r="E51" s="24">
        <v>0</v>
      </c>
    </row>
    <row r="52" spans="2:30" x14ac:dyDescent="0.2">
      <c r="C52" s="63" t="s">
        <v>324</v>
      </c>
      <c r="D52" s="24">
        <f>'2_MODEL_Costs'!G27</f>
        <v>2226000</v>
      </c>
      <c r="E52" s="24">
        <v>0</v>
      </c>
    </row>
    <row r="53" spans="2:30" x14ac:dyDescent="0.2">
      <c r="C53" s="63" t="s">
        <v>326</v>
      </c>
      <c r="D53" s="24">
        <f>'2_MODEL_Costs'!G28</f>
        <v>9664000</v>
      </c>
      <c r="E53" s="24">
        <v>0</v>
      </c>
    </row>
    <row r="54" spans="2:30" x14ac:dyDescent="0.2">
      <c r="C54" s="63" t="s">
        <v>325</v>
      </c>
      <c r="D54" s="24">
        <f>'2_MODEL_Costs'!G29</f>
        <v>25905000</v>
      </c>
      <c r="E54" s="24">
        <v>0</v>
      </c>
    </row>
    <row r="55" spans="2:30" x14ac:dyDescent="0.2">
      <c r="C55" s="64" t="s">
        <v>19</v>
      </c>
      <c r="D55" s="27">
        <f>SUM(D51:D54)</f>
        <v>76420000</v>
      </c>
      <c r="E55" s="26">
        <f>SUM(E44:E54)</f>
        <v>29775000</v>
      </c>
    </row>
    <row r="56" spans="2:30" x14ac:dyDescent="0.2">
      <c r="C56" s="64" t="s">
        <v>381</v>
      </c>
      <c r="D56" s="27">
        <f>'2_MODEL_Costs'!G31</f>
        <v>42667167.197869338</v>
      </c>
      <c r="E56" s="27">
        <f>'2_MODEL_Costs'!G23</f>
        <v>12158788.345469911</v>
      </c>
    </row>
    <row r="57" spans="2:30" x14ac:dyDescent="0.2">
      <c r="C57" s="64" t="s">
        <v>439</v>
      </c>
      <c r="D57" s="64"/>
      <c r="E57" s="26">
        <f>D56-E56</f>
        <v>30508378.852399427</v>
      </c>
    </row>
    <row r="59" spans="2:30" x14ac:dyDescent="0.2">
      <c r="B59" t="s">
        <v>391</v>
      </c>
    </row>
    <row r="60" spans="2:30" x14ac:dyDescent="0.2">
      <c r="C60" s="64" t="s">
        <v>200</v>
      </c>
      <c r="D60">
        <v>2020</v>
      </c>
      <c r="E60">
        <f t="shared" ref="E60:AB60" si="0">D60+1</f>
        <v>2021</v>
      </c>
      <c r="F60" s="63">
        <f t="shared" si="0"/>
        <v>2022</v>
      </c>
      <c r="G60" s="63">
        <f t="shared" si="0"/>
        <v>2023</v>
      </c>
      <c r="H60" s="63">
        <f t="shared" si="0"/>
        <v>2024</v>
      </c>
      <c r="I60" s="63">
        <f>H60+1</f>
        <v>2025</v>
      </c>
      <c r="J60" s="63">
        <f t="shared" si="0"/>
        <v>2026</v>
      </c>
      <c r="K60" s="63">
        <f t="shared" si="0"/>
        <v>2027</v>
      </c>
      <c r="L60" s="63">
        <f t="shared" si="0"/>
        <v>2028</v>
      </c>
      <c r="M60" s="63">
        <f>L60+1</f>
        <v>2029</v>
      </c>
      <c r="N60" s="63">
        <f t="shared" si="0"/>
        <v>2030</v>
      </c>
      <c r="O60" s="63">
        <f t="shared" si="0"/>
        <v>2031</v>
      </c>
      <c r="P60" s="63">
        <f t="shared" si="0"/>
        <v>2032</v>
      </c>
      <c r="Q60" s="63">
        <f t="shared" si="0"/>
        <v>2033</v>
      </c>
      <c r="R60" s="63">
        <f t="shared" si="0"/>
        <v>2034</v>
      </c>
      <c r="S60" s="63">
        <f t="shared" si="0"/>
        <v>2035</v>
      </c>
      <c r="T60" s="63">
        <f t="shared" si="0"/>
        <v>2036</v>
      </c>
      <c r="U60" s="63">
        <f t="shared" si="0"/>
        <v>2037</v>
      </c>
      <c r="V60" s="63">
        <f t="shared" si="0"/>
        <v>2038</v>
      </c>
      <c r="W60" s="63">
        <f t="shared" si="0"/>
        <v>2039</v>
      </c>
      <c r="X60" s="63">
        <f t="shared" si="0"/>
        <v>2040</v>
      </c>
      <c r="Y60" s="63">
        <f t="shared" si="0"/>
        <v>2041</v>
      </c>
      <c r="Z60" s="63">
        <f t="shared" si="0"/>
        <v>2042</v>
      </c>
      <c r="AA60" s="63">
        <f t="shared" si="0"/>
        <v>2043</v>
      </c>
      <c r="AB60" s="63">
        <f t="shared" si="0"/>
        <v>2044</v>
      </c>
      <c r="AD60" s="63"/>
    </row>
    <row r="61" spans="2:30" s="11" customFormat="1" x14ac:dyDescent="0.2">
      <c r="C61" s="28" t="s">
        <v>378</v>
      </c>
      <c r="D61" s="11">
        <f>'1_MODEL_assumptions'!I9</f>
        <v>20704</v>
      </c>
      <c r="E61" s="11">
        <f>'1_MODEL_assumptions'!J9</f>
        <v>30409</v>
      </c>
      <c r="F61" s="11">
        <f>'1_MODEL_assumptions'!K9</f>
        <v>40114</v>
      </c>
      <c r="G61" s="11">
        <f>'1_MODEL_assumptions'!L9</f>
        <v>49819</v>
      </c>
      <c r="H61" s="11">
        <f>'1_MODEL_assumptions'!M9</f>
        <v>59524</v>
      </c>
      <c r="I61" s="11">
        <f>'1_MODEL_assumptions'!N9</f>
        <v>55383.200000000004</v>
      </c>
      <c r="J61" s="11">
        <f>'1_MODEL_assumptions'!O9</f>
        <v>63147.200000000004</v>
      </c>
      <c r="K61" s="11">
        <f>'1_MODEL_assumptions'!P9</f>
        <v>88639</v>
      </c>
      <c r="L61" s="11">
        <f>'1_MODEL_assumptions'!Q9</f>
        <v>98344.000000000015</v>
      </c>
      <c r="M61" s="11">
        <f>'1_MODEL_assumptions'!R9</f>
        <v>108049.00000000003</v>
      </c>
      <c r="N61" s="11">
        <f>'1_MODEL_assumptions'!S9</f>
        <v>117754.00000000003</v>
      </c>
      <c r="O61" s="11">
        <f>'1_MODEL_assumptions'!T9</f>
        <v>127459.00000000004</v>
      </c>
      <c r="P61" s="11">
        <f>'1_MODEL_assumptions'!U9</f>
        <v>137164.00000000006</v>
      </c>
      <c r="Q61" s="11">
        <f>'1_MODEL_assumptions'!V9</f>
        <v>146869.00000000006</v>
      </c>
      <c r="R61" s="11">
        <f>'1_MODEL_assumptions'!W9</f>
        <v>156574.00000000006</v>
      </c>
      <c r="S61" s="11">
        <f>'1_MODEL_assumptions'!X9</f>
        <v>166279.00000000009</v>
      </c>
      <c r="T61" s="11">
        <f>'1_MODEL_assumptions'!Y9</f>
        <v>175984.00000000009</v>
      </c>
      <c r="U61" s="11">
        <f>'1_MODEL_assumptions'!Z9</f>
        <v>185689.00000000009</v>
      </c>
      <c r="V61" s="11">
        <f>'1_MODEL_assumptions'!AA9</f>
        <v>195394.00000000009</v>
      </c>
      <c r="W61" s="11">
        <f>'1_MODEL_assumptions'!AB9</f>
        <v>205099.00000000012</v>
      </c>
      <c r="X61" s="11">
        <f>'1_MODEL_assumptions'!AC9</f>
        <v>214804.00000000012</v>
      </c>
      <c r="Y61" s="11">
        <f>'1_MODEL_assumptions'!AD9</f>
        <v>224509.00000000012</v>
      </c>
      <c r="Z61" s="11">
        <f>'1_MODEL_assumptions'!AE9</f>
        <v>234214.00000000015</v>
      </c>
      <c r="AA61" s="11">
        <f>'1_MODEL_assumptions'!AF9</f>
        <v>243919.00000000015</v>
      </c>
      <c r="AB61" s="11">
        <f>'1_MODEL_assumptions'!AG9</f>
        <v>253624.00000000015</v>
      </c>
    </row>
    <row r="62" spans="2:30" s="11" customFormat="1" x14ac:dyDescent="0.2">
      <c r="C62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A9A0-CE08-4E6F-82DC-0FA0D9AA612E}">
  <dimension ref="A1:AI37"/>
  <sheetViews>
    <sheetView workbookViewId="0">
      <selection activeCell="D10" sqref="D10"/>
    </sheetView>
  </sheetViews>
  <sheetFormatPr baseColWidth="10" defaultColWidth="8.83203125" defaultRowHeight="15" x14ac:dyDescent="0.2"/>
  <cols>
    <col min="1" max="1" width="3" customWidth="1"/>
    <col min="2" max="2" width="3.6640625" customWidth="1"/>
    <col min="4" max="4" width="43.1640625" customWidth="1"/>
    <col min="7" max="33" width="12.83203125" customWidth="1"/>
    <col min="34" max="34" width="12.83203125" style="63" customWidth="1"/>
  </cols>
  <sheetData>
    <row r="1" spans="1:35" s="63" customFormat="1" x14ac:dyDescent="0.2">
      <c r="A1" s="64" t="s">
        <v>397</v>
      </c>
      <c r="H1" s="63">
        <v>-1</v>
      </c>
      <c r="I1" s="63">
        <v>0</v>
      </c>
      <c r="J1" s="63">
        <f t="shared" ref="J1:AH1" si="0">I1+1</f>
        <v>1</v>
      </c>
      <c r="K1" s="63">
        <f t="shared" si="0"/>
        <v>2</v>
      </c>
      <c r="L1" s="63">
        <f t="shared" si="0"/>
        <v>3</v>
      </c>
      <c r="M1" s="63">
        <f t="shared" si="0"/>
        <v>4</v>
      </c>
      <c r="N1" s="63">
        <f t="shared" si="0"/>
        <v>5</v>
      </c>
      <c r="O1" s="63">
        <f t="shared" si="0"/>
        <v>6</v>
      </c>
      <c r="P1" s="63">
        <f t="shared" si="0"/>
        <v>7</v>
      </c>
      <c r="Q1" s="63">
        <f t="shared" si="0"/>
        <v>8</v>
      </c>
      <c r="R1" s="63">
        <f t="shared" si="0"/>
        <v>9</v>
      </c>
      <c r="S1" s="63">
        <f t="shared" si="0"/>
        <v>10</v>
      </c>
      <c r="T1" s="63">
        <f t="shared" si="0"/>
        <v>11</v>
      </c>
      <c r="U1" s="63">
        <f t="shared" si="0"/>
        <v>12</v>
      </c>
      <c r="V1" s="63">
        <f t="shared" si="0"/>
        <v>13</v>
      </c>
      <c r="W1" s="63">
        <f t="shared" si="0"/>
        <v>14</v>
      </c>
      <c r="X1" s="63">
        <f t="shared" si="0"/>
        <v>15</v>
      </c>
      <c r="Y1" s="63">
        <f t="shared" si="0"/>
        <v>16</v>
      </c>
      <c r="Z1" s="63">
        <f t="shared" si="0"/>
        <v>17</v>
      </c>
      <c r="AA1" s="63">
        <f t="shared" si="0"/>
        <v>18</v>
      </c>
      <c r="AB1" s="63">
        <f t="shared" si="0"/>
        <v>19</v>
      </c>
      <c r="AC1" s="63">
        <f t="shared" si="0"/>
        <v>20</v>
      </c>
      <c r="AD1" s="63">
        <f t="shared" si="0"/>
        <v>21</v>
      </c>
      <c r="AE1" s="63">
        <f t="shared" si="0"/>
        <v>22</v>
      </c>
      <c r="AF1" s="63">
        <f t="shared" si="0"/>
        <v>23</v>
      </c>
      <c r="AG1" s="63">
        <f t="shared" si="0"/>
        <v>24</v>
      </c>
      <c r="AH1" s="63">
        <f t="shared" si="0"/>
        <v>25</v>
      </c>
    </row>
    <row r="2" spans="1:35" s="64" customFormat="1" x14ac:dyDescent="0.2">
      <c r="E2" s="64" t="s">
        <v>6</v>
      </c>
      <c r="F2" s="64" t="s">
        <v>7</v>
      </c>
      <c r="H2" s="64">
        <v>2019</v>
      </c>
      <c r="I2" s="64">
        <v>2020</v>
      </c>
      <c r="J2" s="64">
        <f t="shared" ref="J2:AH2" si="1">I2+1</f>
        <v>2021</v>
      </c>
      <c r="K2" s="64">
        <f t="shared" si="1"/>
        <v>2022</v>
      </c>
      <c r="L2" s="64">
        <f t="shared" si="1"/>
        <v>2023</v>
      </c>
      <c r="M2" s="64">
        <f t="shared" si="1"/>
        <v>2024</v>
      </c>
      <c r="N2" s="64">
        <f t="shared" si="1"/>
        <v>2025</v>
      </c>
      <c r="O2" s="64">
        <f t="shared" si="1"/>
        <v>2026</v>
      </c>
      <c r="P2" s="64">
        <f t="shared" si="1"/>
        <v>2027</v>
      </c>
      <c r="Q2" s="64">
        <f t="shared" si="1"/>
        <v>2028</v>
      </c>
      <c r="R2" s="64">
        <f t="shared" si="1"/>
        <v>2029</v>
      </c>
      <c r="S2" s="64">
        <f t="shared" si="1"/>
        <v>2030</v>
      </c>
      <c r="T2" s="64">
        <f t="shared" si="1"/>
        <v>2031</v>
      </c>
      <c r="U2" s="64">
        <f t="shared" si="1"/>
        <v>2032</v>
      </c>
      <c r="V2" s="64">
        <f t="shared" si="1"/>
        <v>2033</v>
      </c>
      <c r="W2" s="64">
        <f t="shared" si="1"/>
        <v>2034</v>
      </c>
      <c r="X2" s="64">
        <f t="shared" si="1"/>
        <v>2035</v>
      </c>
      <c r="Y2" s="64">
        <f t="shared" si="1"/>
        <v>2036</v>
      </c>
      <c r="Z2" s="64">
        <f t="shared" si="1"/>
        <v>2037</v>
      </c>
      <c r="AA2" s="64">
        <f t="shared" si="1"/>
        <v>2038</v>
      </c>
      <c r="AB2" s="64">
        <f t="shared" si="1"/>
        <v>2039</v>
      </c>
      <c r="AC2" s="64">
        <f t="shared" si="1"/>
        <v>2040</v>
      </c>
      <c r="AD2" s="64">
        <f t="shared" si="1"/>
        <v>2041</v>
      </c>
      <c r="AE2" s="64">
        <f t="shared" si="1"/>
        <v>2042</v>
      </c>
      <c r="AF2" s="64">
        <f t="shared" si="1"/>
        <v>2043</v>
      </c>
      <c r="AG2" s="64">
        <f t="shared" si="1"/>
        <v>2044</v>
      </c>
      <c r="AH2" s="64">
        <f t="shared" si="1"/>
        <v>2045</v>
      </c>
    </row>
    <row r="3" spans="1:35" x14ac:dyDescent="0.2">
      <c r="A3" s="1"/>
      <c r="B3" s="1"/>
    </row>
    <row r="4" spans="1:35" x14ac:dyDescent="0.2">
      <c r="A4" s="1"/>
      <c r="B4" s="1"/>
      <c r="C4" s="1" t="s">
        <v>198</v>
      </c>
    </row>
    <row r="5" spans="1:35" x14ac:dyDescent="0.2">
      <c r="A5" s="1"/>
      <c r="B5" s="1"/>
      <c r="D5" t="s">
        <v>189</v>
      </c>
      <c r="E5" t="s">
        <v>9</v>
      </c>
      <c r="G5" s="85">
        <v>1300000</v>
      </c>
      <c r="H5" s="11"/>
      <c r="I5" s="12"/>
    </row>
    <row r="6" spans="1:35" x14ac:dyDescent="0.2">
      <c r="A6" s="1"/>
      <c r="B6" s="1"/>
      <c r="D6" t="s">
        <v>190</v>
      </c>
      <c r="E6" t="s">
        <v>9</v>
      </c>
      <c r="G6" s="85">
        <v>647000</v>
      </c>
      <c r="H6" s="11"/>
      <c r="I6" s="12"/>
    </row>
    <row r="7" spans="1:35" x14ac:dyDescent="0.2">
      <c r="A7" s="1"/>
      <c r="B7" s="1"/>
      <c r="D7" t="s">
        <v>191</v>
      </c>
      <c r="E7" t="s">
        <v>192</v>
      </c>
      <c r="G7" s="86">
        <v>1.4999999999999999E-2</v>
      </c>
      <c r="I7" s="12"/>
    </row>
    <row r="8" spans="1:35" x14ac:dyDescent="0.2">
      <c r="A8" s="1"/>
      <c r="B8" s="1"/>
      <c r="D8" t="s">
        <v>193</v>
      </c>
      <c r="E8" t="s">
        <v>28</v>
      </c>
      <c r="G8" s="87"/>
      <c r="H8" s="37">
        <v>1.7000000000000001E-2</v>
      </c>
      <c r="I8" s="88">
        <f t="shared" ref="I8:AH8" si="2">H8+$G7</f>
        <v>3.2000000000000001E-2</v>
      </c>
      <c r="J8" s="37">
        <f t="shared" si="2"/>
        <v>4.7E-2</v>
      </c>
      <c r="K8" s="37">
        <f t="shared" si="2"/>
        <v>6.2E-2</v>
      </c>
      <c r="L8" s="37">
        <f t="shared" si="2"/>
        <v>7.6999999999999999E-2</v>
      </c>
      <c r="M8" s="37">
        <f t="shared" si="2"/>
        <v>9.1999999999999998E-2</v>
      </c>
      <c r="N8" s="37">
        <f t="shared" si="2"/>
        <v>0.107</v>
      </c>
      <c r="O8" s="37">
        <f t="shared" si="2"/>
        <v>0.122</v>
      </c>
      <c r="P8" s="37">
        <f t="shared" si="2"/>
        <v>0.13700000000000001</v>
      </c>
      <c r="Q8" s="37">
        <f t="shared" si="2"/>
        <v>0.15200000000000002</v>
      </c>
      <c r="R8" s="37">
        <f t="shared" si="2"/>
        <v>0.16700000000000004</v>
      </c>
      <c r="S8" s="37">
        <f t="shared" si="2"/>
        <v>0.18200000000000005</v>
      </c>
      <c r="T8" s="37">
        <f t="shared" si="2"/>
        <v>0.19700000000000006</v>
      </c>
      <c r="U8" s="37">
        <f t="shared" si="2"/>
        <v>0.21200000000000008</v>
      </c>
      <c r="V8" s="37">
        <f t="shared" si="2"/>
        <v>0.22700000000000009</v>
      </c>
      <c r="W8" s="37">
        <f t="shared" si="2"/>
        <v>0.2420000000000001</v>
      </c>
      <c r="X8" s="37">
        <f t="shared" si="2"/>
        <v>0.25700000000000012</v>
      </c>
      <c r="Y8" s="37">
        <f t="shared" si="2"/>
        <v>0.27200000000000013</v>
      </c>
      <c r="Z8" s="37">
        <f t="shared" si="2"/>
        <v>0.28700000000000014</v>
      </c>
      <c r="AA8" s="37">
        <f t="shared" si="2"/>
        <v>0.30200000000000016</v>
      </c>
      <c r="AB8" s="37">
        <f t="shared" si="2"/>
        <v>0.31700000000000017</v>
      </c>
      <c r="AC8" s="37">
        <f t="shared" si="2"/>
        <v>0.33200000000000018</v>
      </c>
      <c r="AD8" s="37">
        <f t="shared" si="2"/>
        <v>0.3470000000000002</v>
      </c>
      <c r="AE8" s="37">
        <f t="shared" si="2"/>
        <v>0.36200000000000021</v>
      </c>
      <c r="AF8" s="37">
        <f t="shared" si="2"/>
        <v>0.37700000000000022</v>
      </c>
      <c r="AG8" s="37">
        <f t="shared" si="2"/>
        <v>0.39200000000000024</v>
      </c>
      <c r="AH8" s="37">
        <f t="shared" si="2"/>
        <v>0.40700000000000025</v>
      </c>
    </row>
    <row r="9" spans="1:35" x14ac:dyDescent="0.2">
      <c r="A9" s="1"/>
      <c r="B9" s="1"/>
      <c r="D9" t="s">
        <v>197</v>
      </c>
      <c r="E9" t="s">
        <v>9</v>
      </c>
      <c r="G9" s="87"/>
      <c r="H9" s="11">
        <f>$G6*H8</f>
        <v>10999</v>
      </c>
      <c r="I9" s="81">
        <f t="shared" ref="I9:M9" si="3">$G6*I8</f>
        <v>20704</v>
      </c>
      <c r="J9" s="11">
        <f t="shared" si="3"/>
        <v>30409</v>
      </c>
      <c r="K9" s="11">
        <f t="shared" si="3"/>
        <v>40114</v>
      </c>
      <c r="L9" s="11">
        <f t="shared" si="3"/>
        <v>49819</v>
      </c>
      <c r="M9" s="11">
        <f t="shared" si="3"/>
        <v>59524</v>
      </c>
      <c r="N9" s="11">
        <f>$G6*N8*0.8</f>
        <v>55383.200000000004</v>
      </c>
      <c r="O9" s="11">
        <f>$G6*O8*0.8</f>
        <v>63147.200000000004</v>
      </c>
      <c r="P9" s="11">
        <f t="shared" ref="P9:AG9" si="4">$G6*P8</f>
        <v>88639</v>
      </c>
      <c r="Q9" s="11">
        <f t="shared" si="4"/>
        <v>98344.000000000015</v>
      </c>
      <c r="R9" s="11">
        <f t="shared" si="4"/>
        <v>108049.00000000003</v>
      </c>
      <c r="S9" s="11">
        <f t="shared" si="4"/>
        <v>117754.00000000003</v>
      </c>
      <c r="T9" s="11">
        <f t="shared" si="4"/>
        <v>127459.00000000004</v>
      </c>
      <c r="U9" s="11">
        <f t="shared" si="4"/>
        <v>137164.00000000006</v>
      </c>
      <c r="V9" s="11">
        <f t="shared" si="4"/>
        <v>146869.00000000006</v>
      </c>
      <c r="W9" s="11">
        <f t="shared" si="4"/>
        <v>156574.00000000006</v>
      </c>
      <c r="X9" s="11">
        <f t="shared" si="4"/>
        <v>166279.00000000009</v>
      </c>
      <c r="Y9" s="11">
        <f t="shared" si="4"/>
        <v>175984.00000000009</v>
      </c>
      <c r="Z9" s="11">
        <f t="shared" si="4"/>
        <v>185689.00000000009</v>
      </c>
      <c r="AA9" s="11">
        <f t="shared" si="4"/>
        <v>195394.00000000009</v>
      </c>
      <c r="AB9" s="11">
        <f t="shared" si="4"/>
        <v>205099.00000000012</v>
      </c>
      <c r="AC9" s="11">
        <f t="shared" si="4"/>
        <v>214804.00000000012</v>
      </c>
      <c r="AD9" s="11">
        <f t="shared" si="4"/>
        <v>224509.00000000012</v>
      </c>
      <c r="AE9" s="11">
        <f t="shared" si="4"/>
        <v>234214.00000000015</v>
      </c>
      <c r="AF9" s="11">
        <f t="shared" si="4"/>
        <v>243919.00000000015</v>
      </c>
      <c r="AG9" s="11">
        <f t="shared" si="4"/>
        <v>253624.00000000015</v>
      </c>
      <c r="AH9" s="11">
        <f t="shared" ref="AH9" si="5">$G6*AH8</f>
        <v>263329.00000000017</v>
      </c>
      <c r="AI9" s="12">
        <f>AG12-AG9</f>
        <v>-253624.00000000015</v>
      </c>
    </row>
    <row r="10" spans="1:35" x14ac:dyDescent="0.2">
      <c r="A10" s="1"/>
      <c r="B10" s="1"/>
      <c r="D10" t="s">
        <v>429</v>
      </c>
      <c r="E10" t="s">
        <v>28</v>
      </c>
      <c r="G10" s="86">
        <v>3.5000000000000003E-2</v>
      </c>
      <c r="H10" s="11"/>
      <c r="I10" s="81"/>
      <c r="J10" s="11"/>
      <c r="K10" s="11"/>
      <c r="L10" s="11"/>
      <c r="M10" s="11"/>
      <c r="N10" s="11"/>
      <c r="O10" s="11"/>
      <c r="P10" s="11"/>
    </row>
    <row r="11" spans="1:35" x14ac:dyDescent="0.2">
      <c r="A11" s="1"/>
      <c r="B11" s="1"/>
      <c r="D11" t="s">
        <v>196</v>
      </c>
      <c r="E11" t="s">
        <v>194</v>
      </c>
      <c r="G11" s="87"/>
      <c r="H11" s="38"/>
      <c r="I11" s="19"/>
      <c r="J11" s="14">
        <v>0.05</v>
      </c>
      <c r="K11" s="14">
        <v>0.08</v>
      </c>
      <c r="L11" s="14">
        <v>0.1</v>
      </c>
      <c r="M11" s="14">
        <v>0.4</v>
      </c>
      <c r="N11" s="14">
        <v>0.55000000000000004</v>
      </c>
      <c r="O11" s="14">
        <v>0.63</v>
      </c>
      <c r="P11" s="14">
        <f>O11+$G10</f>
        <v>0.66500000000000004</v>
      </c>
      <c r="Q11" s="14">
        <f>P11+$G10</f>
        <v>0.70000000000000007</v>
      </c>
      <c r="R11" s="14">
        <f>Q11+$G10</f>
        <v>0.7350000000000001</v>
      </c>
      <c r="S11" s="14">
        <f>R11+$G10</f>
        <v>0.77000000000000013</v>
      </c>
      <c r="T11" s="14">
        <v>0.8</v>
      </c>
      <c r="U11" s="14">
        <v>0.8</v>
      </c>
      <c r="V11" s="14">
        <v>0.8</v>
      </c>
      <c r="W11" s="14">
        <v>0.8</v>
      </c>
      <c r="X11" s="14">
        <v>0.8</v>
      </c>
      <c r="Y11" s="14">
        <v>0.8</v>
      </c>
      <c r="Z11" s="14">
        <v>0.8</v>
      </c>
      <c r="AA11" s="14">
        <v>0.8</v>
      </c>
      <c r="AB11" s="14">
        <v>0.8</v>
      </c>
      <c r="AC11" s="14">
        <v>0.8</v>
      </c>
      <c r="AD11" s="14">
        <v>0.8</v>
      </c>
      <c r="AE11" s="14">
        <v>0.8</v>
      </c>
      <c r="AF11" s="14">
        <v>0.8</v>
      </c>
      <c r="AG11" s="14">
        <v>0.8</v>
      </c>
      <c r="AH11" s="14">
        <v>0.8</v>
      </c>
    </row>
    <row r="12" spans="1:35" x14ac:dyDescent="0.2">
      <c r="A12" s="1"/>
      <c r="B12" s="1"/>
      <c r="D12" t="s">
        <v>195</v>
      </c>
      <c r="E12" t="s">
        <v>9</v>
      </c>
      <c r="G12" s="22"/>
      <c r="H12" s="38">
        <v>0</v>
      </c>
      <c r="I12" s="89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</row>
    <row r="13" spans="1:35" x14ac:dyDescent="0.2">
      <c r="I13" s="19"/>
      <c r="AG13" s="12"/>
      <c r="AH13" s="12"/>
    </row>
    <row r="14" spans="1:35" x14ac:dyDescent="0.2">
      <c r="C14" s="1" t="s">
        <v>201</v>
      </c>
      <c r="F14" t="s">
        <v>200</v>
      </c>
      <c r="G14" t="s">
        <v>199</v>
      </c>
      <c r="H14" t="s">
        <v>401</v>
      </c>
      <c r="I14" s="19"/>
    </row>
    <row r="15" spans="1:35" x14ac:dyDescent="0.2">
      <c r="F15">
        <f t="shared" ref="F15:F30" si="6">F16-1</f>
        <v>2001</v>
      </c>
      <c r="G15">
        <v>1.3542000000000001</v>
      </c>
      <c r="H15">
        <v>1.4575</v>
      </c>
    </row>
    <row r="16" spans="1:35" x14ac:dyDescent="0.2">
      <c r="F16">
        <f t="shared" si="6"/>
        <v>2002</v>
      </c>
      <c r="G16">
        <v>1.3338000000000001</v>
      </c>
      <c r="H16">
        <v>1.4347999999999999</v>
      </c>
      <c r="I16" s="63"/>
    </row>
    <row r="17" spans="6:9" x14ac:dyDescent="0.2">
      <c r="F17">
        <f t="shared" si="6"/>
        <v>2003</v>
      </c>
      <c r="G17">
        <v>1.3077000000000001</v>
      </c>
      <c r="H17">
        <v>1.4028</v>
      </c>
      <c r="I17" s="63"/>
    </row>
    <row r="18" spans="6:9" x14ac:dyDescent="0.2">
      <c r="F18">
        <f t="shared" si="6"/>
        <v>2004</v>
      </c>
      <c r="G18">
        <v>1.2726999999999999</v>
      </c>
      <c r="H18">
        <v>1.3663999999999998</v>
      </c>
      <c r="I18" s="63"/>
    </row>
    <row r="19" spans="6:9" x14ac:dyDescent="0.2">
      <c r="F19">
        <f t="shared" si="6"/>
        <v>2005</v>
      </c>
      <c r="G19">
        <v>1.2330000000000001</v>
      </c>
      <c r="H19">
        <v>1.3215999999999999</v>
      </c>
      <c r="I19" s="63"/>
    </row>
    <row r="20" spans="6:9" x14ac:dyDescent="0.2">
      <c r="F20">
        <f t="shared" si="6"/>
        <v>2006</v>
      </c>
      <c r="G20">
        <v>1.1961999999999999</v>
      </c>
      <c r="H20">
        <v>1.2803</v>
      </c>
      <c r="I20" s="63"/>
    </row>
    <row r="21" spans="6:9" x14ac:dyDescent="0.2">
      <c r="F21">
        <f t="shared" si="6"/>
        <v>2007</v>
      </c>
      <c r="G21">
        <v>1.1652</v>
      </c>
      <c r="H21">
        <v>1.2803</v>
      </c>
      <c r="I21" s="63"/>
    </row>
    <row r="22" spans="6:9" x14ac:dyDescent="0.2">
      <c r="F22">
        <f t="shared" si="6"/>
        <v>2008</v>
      </c>
      <c r="G22">
        <v>1.1428</v>
      </c>
      <c r="H22">
        <v>1.1987999999999999</v>
      </c>
      <c r="I22" s="63"/>
    </row>
    <row r="23" spans="6:9" x14ac:dyDescent="0.2">
      <c r="F23">
        <f t="shared" si="6"/>
        <v>2009</v>
      </c>
      <c r="G23">
        <v>1.1342000000000001</v>
      </c>
      <c r="H23">
        <v>1.2031000000000001</v>
      </c>
      <c r="I23" s="63"/>
    </row>
    <row r="24" spans="6:9" x14ac:dyDescent="0.2">
      <c r="F24">
        <f t="shared" si="6"/>
        <v>2010</v>
      </c>
      <c r="G24">
        <v>1.1205000000000001</v>
      </c>
      <c r="H24">
        <v>1.1837</v>
      </c>
      <c r="I24" s="63"/>
    </row>
    <row r="25" spans="6:9" x14ac:dyDescent="0.2">
      <c r="F25">
        <f t="shared" si="6"/>
        <v>2011</v>
      </c>
      <c r="G25">
        <v>1.0979000000000001</v>
      </c>
      <c r="H25">
        <v>1.1475</v>
      </c>
      <c r="I25" s="63"/>
    </row>
    <row r="26" spans="6:9" x14ac:dyDescent="0.2">
      <c r="F26">
        <f t="shared" si="6"/>
        <v>2012</v>
      </c>
      <c r="G26">
        <v>1.0780000000000001</v>
      </c>
      <c r="H26">
        <v>1.1242000000000001</v>
      </c>
      <c r="I26" s="63"/>
    </row>
    <row r="27" spans="6:9" x14ac:dyDescent="0.2">
      <c r="F27">
        <f t="shared" si="6"/>
        <v>2013</v>
      </c>
      <c r="G27">
        <v>1.0609</v>
      </c>
      <c r="H27">
        <v>1.1079999999999999</v>
      </c>
      <c r="I27" s="63"/>
    </row>
    <row r="28" spans="6:9" x14ac:dyDescent="0.2">
      <c r="F28">
        <f t="shared" si="6"/>
        <v>2014</v>
      </c>
      <c r="G28">
        <v>1.0422</v>
      </c>
      <c r="H28">
        <v>1.0903</v>
      </c>
      <c r="I28" s="63"/>
    </row>
    <row r="29" spans="6:9" x14ac:dyDescent="0.2">
      <c r="F29">
        <f t="shared" si="6"/>
        <v>2015</v>
      </c>
      <c r="G29">
        <v>1.0309999999999999</v>
      </c>
      <c r="H29">
        <v>1.089</v>
      </c>
      <c r="I29" s="63"/>
    </row>
    <row r="30" spans="6:9" x14ac:dyDescent="0.2">
      <c r="F30">
        <f t="shared" si="6"/>
        <v>2016</v>
      </c>
      <c r="G30">
        <v>1.018</v>
      </c>
      <c r="H30">
        <v>1.0754000000000001</v>
      </c>
      <c r="I30" s="63"/>
    </row>
    <row r="31" spans="6:9" x14ac:dyDescent="0.2">
      <c r="F31">
        <v>2017</v>
      </c>
      <c r="G31">
        <v>1</v>
      </c>
      <c r="H31">
        <v>1.0529999999999999</v>
      </c>
      <c r="I31" s="63"/>
    </row>
    <row r="32" spans="6:9" x14ac:dyDescent="0.2">
      <c r="F32">
        <f>F31+1</f>
        <v>2018</v>
      </c>
      <c r="H32">
        <v>1.0273999999999999</v>
      </c>
      <c r="I32" s="63"/>
    </row>
    <row r="33" spans="3:34" s="63" customFormat="1" x14ac:dyDescent="0.2">
      <c r="F33" s="63">
        <f>F32+1</f>
        <v>2019</v>
      </c>
      <c r="H33">
        <v>1.0095999999999998</v>
      </c>
    </row>
    <row r="34" spans="3:34" s="63" customFormat="1" x14ac:dyDescent="0.2">
      <c r="F34" s="63">
        <f>F33+1</f>
        <v>2020</v>
      </c>
      <c r="H34" s="63">
        <v>1</v>
      </c>
    </row>
    <row r="35" spans="3:34" x14ac:dyDescent="0.2">
      <c r="C35" s="1" t="s">
        <v>205</v>
      </c>
    </row>
    <row r="36" spans="3:34" x14ac:dyDescent="0.2">
      <c r="D36" t="s">
        <v>206</v>
      </c>
      <c r="H36">
        <f>(1+7%)^'3_MODEL_main'!H1</f>
        <v>0.93457943925233644</v>
      </c>
      <c r="I36" s="31">
        <f>(1+7%)^'3_MODEL_main'!I1</f>
        <v>1</v>
      </c>
      <c r="J36" s="31">
        <f>(1+7%)^'3_MODEL_main'!J1</f>
        <v>1.07</v>
      </c>
      <c r="K36" s="31">
        <f>(1+7%)^'3_MODEL_main'!K1</f>
        <v>1.1449</v>
      </c>
      <c r="L36" s="31">
        <f>(1+7%)^'3_MODEL_main'!L1</f>
        <v>1.2250430000000001</v>
      </c>
      <c r="M36" s="31">
        <f>(1+7%)^'3_MODEL_main'!M1</f>
        <v>1.31079601</v>
      </c>
      <c r="N36" s="31">
        <f>(1+7%)^'3_MODEL_main'!N1</f>
        <v>1.4025517307000002</v>
      </c>
      <c r="O36" s="31">
        <f>(1+7%)^'3_MODEL_main'!O1</f>
        <v>1.5007303518490001</v>
      </c>
      <c r="P36" s="31">
        <f>(1+7%)^'3_MODEL_main'!P1</f>
        <v>1.6057814764784302</v>
      </c>
      <c r="Q36" s="31">
        <f>(1+7%)^'3_MODEL_main'!Q1</f>
        <v>1.7181861798319202</v>
      </c>
      <c r="R36" s="31">
        <f>(1+7%)^'3_MODEL_main'!R1</f>
        <v>1.8384592124201549</v>
      </c>
      <c r="S36" s="31">
        <f>(1+7%)^'3_MODEL_main'!S1</f>
        <v>1.9671513572895656</v>
      </c>
      <c r="T36" s="31">
        <f>(1+7%)^'3_MODEL_main'!T1</f>
        <v>2.1048519522998355</v>
      </c>
      <c r="U36" s="31">
        <f>(1+7%)^'3_MODEL_main'!U1</f>
        <v>2.2521915889608235</v>
      </c>
      <c r="V36" s="31">
        <f>(1+7%)^'3_MODEL_main'!V1</f>
        <v>2.4098450001880813</v>
      </c>
      <c r="W36" s="31">
        <f>(1+7%)^'3_MODEL_main'!W1</f>
        <v>2.5785341502012469</v>
      </c>
      <c r="X36" s="31">
        <f>(1+7%)^'3_MODEL_main'!X1</f>
        <v>2.7590315407153345</v>
      </c>
      <c r="Y36" s="31">
        <f>(1+7%)^'3_MODEL_main'!Y1</f>
        <v>2.9521637485654075</v>
      </c>
      <c r="Z36" s="31">
        <f>(1+7%)^'3_MODEL_main'!Z1</f>
        <v>3.1588152109649861</v>
      </c>
      <c r="AA36" s="31">
        <f>(1+7%)^'3_MODEL_main'!AA1</f>
        <v>3.3799322757325352</v>
      </c>
      <c r="AB36" s="31">
        <f>(1+7%)^'3_MODEL_main'!AB1</f>
        <v>3.6165275350338129</v>
      </c>
      <c r="AC36" s="31">
        <f>(1+7%)^'3_MODEL_main'!AC1</f>
        <v>3.8696844624861795</v>
      </c>
      <c r="AD36" s="31">
        <f>(1+7%)^'3_MODEL_main'!AD1</f>
        <v>4.1405623748602123</v>
      </c>
      <c r="AE36" s="31">
        <f>(1+7%)^'3_MODEL_main'!AE1</f>
        <v>4.4304017411004271</v>
      </c>
      <c r="AF36" s="31">
        <f>(1+7%)^'3_MODEL_main'!AF1</f>
        <v>4.740529862977457</v>
      </c>
      <c r="AG36" s="31">
        <f>(1+7%)^'3_MODEL_main'!AG1</f>
        <v>5.0723669533858793</v>
      </c>
      <c r="AH36" s="31">
        <f>(1+7%)^'3_MODEL_main'!AH1</f>
        <v>5.4274326401228912</v>
      </c>
    </row>
    <row r="37" spans="3:34" x14ac:dyDescent="0.2">
      <c r="D37" t="s">
        <v>207</v>
      </c>
      <c r="G37">
        <v>2020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FEC8-18D5-4A65-A5AC-A40974D37549}">
  <dimension ref="A1:AH33"/>
  <sheetViews>
    <sheetView workbookViewId="0">
      <selection activeCell="C22" sqref="C22"/>
    </sheetView>
  </sheetViews>
  <sheetFormatPr baseColWidth="10" defaultColWidth="8.83203125" defaultRowHeight="15" x14ac:dyDescent="0.2"/>
  <cols>
    <col min="4" max="4" width="41.5" customWidth="1"/>
    <col min="6" max="6" width="24.1640625" customWidth="1"/>
    <col min="7" max="7" width="13.6640625" customWidth="1"/>
    <col min="8" max="8" width="13.6640625" hidden="1" customWidth="1"/>
    <col min="9" max="33" width="13.6640625" customWidth="1"/>
    <col min="34" max="34" width="13.6640625" style="63" customWidth="1"/>
  </cols>
  <sheetData>
    <row r="1" spans="1:34" s="63" customFormat="1" x14ac:dyDescent="0.2">
      <c r="A1" s="64" t="s">
        <v>394</v>
      </c>
      <c r="H1" s="63">
        <v>-1</v>
      </c>
      <c r="I1" s="63">
        <v>0</v>
      </c>
      <c r="J1" s="63">
        <f t="shared" ref="J1:AH2" si="0">I1+1</f>
        <v>1</v>
      </c>
      <c r="K1" s="63">
        <f t="shared" si="0"/>
        <v>2</v>
      </c>
      <c r="L1" s="63">
        <f t="shared" si="0"/>
        <v>3</v>
      </c>
      <c r="M1" s="63">
        <f t="shared" si="0"/>
        <v>4</v>
      </c>
      <c r="N1" s="63">
        <f t="shared" si="0"/>
        <v>5</v>
      </c>
      <c r="O1" s="63">
        <f t="shared" si="0"/>
        <v>6</v>
      </c>
      <c r="P1" s="63">
        <f t="shared" si="0"/>
        <v>7</v>
      </c>
      <c r="Q1" s="63">
        <f t="shared" si="0"/>
        <v>8</v>
      </c>
      <c r="R1" s="63">
        <f t="shared" si="0"/>
        <v>9</v>
      </c>
      <c r="S1" s="63">
        <f t="shared" si="0"/>
        <v>10</v>
      </c>
      <c r="T1" s="63">
        <f t="shared" si="0"/>
        <v>11</v>
      </c>
      <c r="U1" s="63">
        <f t="shared" si="0"/>
        <v>12</v>
      </c>
      <c r="V1" s="63">
        <f t="shared" si="0"/>
        <v>13</v>
      </c>
      <c r="W1" s="63">
        <f t="shared" si="0"/>
        <v>14</v>
      </c>
      <c r="X1" s="63">
        <f t="shared" si="0"/>
        <v>15</v>
      </c>
      <c r="Y1" s="63">
        <f t="shared" si="0"/>
        <v>16</v>
      </c>
      <c r="Z1" s="63">
        <f t="shared" si="0"/>
        <v>17</v>
      </c>
      <c r="AA1" s="63">
        <f t="shared" si="0"/>
        <v>18</v>
      </c>
      <c r="AB1" s="63">
        <f t="shared" si="0"/>
        <v>19</v>
      </c>
      <c r="AC1" s="63">
        <f t="shared" si="0"/>
        <v>20</v>
      </c>
      <c r="AD1" s="63">
        <f t="shared" si="0"/>
        <v>21</v>
      </c>
      <c r="AE1" s="63">
        <f t="shared" si="0"/>
        <v>22</v>
      </c>
      <c r="AF1" s="63">
        <f t="shared" si="0"/>
        <v>23</v>
      </c>
      <c r="AG1" s="63">
        <f t="shared" si="0"/>
        <v>24</v>
      </c>
      <c r="AH1" s="63">
        <f t="shared" si="0"/>
        <v>25</v>
      </c>
    </row>
    <row r="2" spans="1:34" s="64" customFormat="1" x14ac:dyDescent="0.2">
      <c r="E2" s="64" t="s">
        <v>6</v>
      </c>
      <c r="F2" s="64" t="s">
        <v>7</v>
      </c>
      <c r="G2" s="64" t="s">
        <v>423</v>
      </c>
      <c r="H2" s="64">
        <v>2019</v>
      </c>
      <c r="I2" s="64">
        <v>2020</v>
      </c>
      <c r="J2" s="64">
        <f>I2+1</f>
        <v>2021</v>
      </c>
      <c r="K2" s="64">
        <f t="shared" si="0"/>
        <v>2022</v>
      </c>
      <c r="L2" s="64">
        <f t="shared" si="0"/>
        <v>2023</v>
      </c>
      <c r="M2" s="64">
        <f t="shared" si="0"/>
        <v>2024</v>
      </c>
      <c r="N2" s="64">
        <f t="shared" si="0"/>
        <v>2025</v>
      </c>
      <c r="O2" s="64">
        <f t="shared" si="0"/>
        <v>2026</v>
      </c>
      <c r="P2" s="64">
        <f t="shared" si="0"/>
        <v>2027</v>
      </c>
      <c r="Q2" s="64">
        <f t="shared" si="0"/>
        <v>2028</v>
      </c>
      <c r="R2" s="64">
        <f t="shared" si="0"/>
        <v>2029</v>
      </c>
      <c r="S2" s="64">
        <f t="shared" si="0"/>
        <v>2030</v>
      </c>
      <c r="T2" s="64">
        <f t="shared" si="0"/>
        <v>2031</v>
      </c>
      <c r="U2" s="64">
        <f t="shared" si="0"/>
        <v>2032</v>
      </c>
      <c r="V2" s="64">
        <f t="shared" si="0"/>
        <v>2033</v>
      </c>
      <c r="W2" s="64">
        <f t="shared" si="0"/>
        <v>2034</v>
      </c>
      <c r="X2" s="64">
        <f t="shared" si="0"/>
        <v>2035</v>
      </c>
      <c r="Y2" s="64">
        <f t="shared" si="0"/>
        <v>2036</v>
      </c>
      <c r="Z2" s="64">
        <f t="shared" si="0"/>
        <v>2037</v>
      </c>
      <c r="AA2" s="64">
        <f t="shared" si="0"/>
        <v>2038</v>
      </c>
      <c r="AB2" s="64">
        <f t="shared" si="0"/>
        <v>2039</v>
      </c>
      <c r="AC2" s="64">
        <f t="shared" si="0"/>
        <v>2040</v>
      </c>
      <c r="AD2" s="64">
        <f t="shared" si="0"/>
        <v>2041</v>
      </c>
      <c r="AE2" s="64">
        <f t="shared" si="0"/>
        <v>2042</v>
      </c>
      <c r="AF2" s="64">
        <f t="shared" si="0"/>
        <v>2043</v>
      </c>
      <c r="AG2" s="64">
        <f t="shared" si="0"/>
        <v>2044</v>
      </c>
      <c r="AH2" s="64">
        <f t="shared" si="0"/>
        <v>2045</v>
      </c>
    </row>
    <row r="3" spans="1:34" s="24" customFormat="1" x14ac:dyDescent="0.2">
      <c r="C3" s="110" t="s">
        <v>430</v>
      </c>
      <c r="E3" s="24" t="s">
        <v>168</v>
      </c>
      <c r="G3" s="24">
        <f t="shared" ref="G3:G11" si="1">SUM(H3:L3)</f>
        <v>0</v>
      </c>
      <c r="J3" s="90">
        <v>0</v>
      </c>
      <c r="K3" s="90"/>
      <c r="L3" s="90"/>
      <c r="M3" s="90"/>
    </row>
    <row r="4" spans="1:34" s="24" customFormat="1" x14ac:dyDescent="0.2">
      <c r="C4" s="110"/>
      <c r="E4" s="24" t="s">
        <v>168</v>
      </c>
      <c r="G4" s="24">
        <f t="shared" si="1"/>
        <v>0</v>
      </c>
      <c r="J4" s="90">
        <v>0</v>
      </c>
      <c r="K4" s="90">
        <v>0</v>
      </c>
      <c r="L4" s="90">
        <v>0</v>
      </c>
      <c r="M4" s="90"/>
    </row>
    <row r="5" spans="1:34" s="24" customFormat="1" x14ac:dyDescent="0.2">
      <c r="C5" s="110"/>
      <c r="E5" s="24" t="s">
        <v>168</v>
      </c>
      <c r="G5" s="24">
        <f t="shared" si="1"/>
        <v>0</v>
      </c>
      <c r="J5" s="90"/>
      <c r="K5" s="90"/>
      <c r="L5" s="90">
        <v>0</v>
      </c>
      <c r="M5" s="90">
        <v>0</v>
      </c>
    </row>
    <row r="6" spans="1:34" s="24" customFormat="1" x14ac:dyDescent="0.2">
      <c r="C6" s="110"/>
      <c r="E6" s="24" t="s">
        <v>168</v>
      </c>
      <c r="G6" s="24">
        <f t="shared" si="1"/>
        <v>0</v>
      </c>
      <c r="J6" s="90"/>
      <c r="K6" s="90"/>
      <c r="L6" s="90">
        <v>0</v>
      </c>
      <c r="M6" s="90"/>
    </row>
    <row r="7" spans="1:34" s="24" customFormat="1" x14ac:dyDescent="0.2">
      <c r="C7" s="110"/>
    </row>
    <row r="8" spans="1:34" s="24" customFormat="1" x14ac:dyDescent="0.2">
      <c r="C8" s="110"/>
    </row>
    <row r="9" spans="1:34" s="24" customFormat="1" x14ac:dyDescent="0.2">
      <c r="C9" s="110"/>
      <c r="D9" s="24" t="s">
        <v>179</v>
      </c>
      <c r="E9" s="24" t="s">
        <v>168</v>
      </c>
      <c r="G9" s="24">
        <f t="shared" si="1"/>
        <v>0</v>
      </c>
      <c r="I9" s="24">
        <v>0</v>
      </c>
    </row>
    <row r="10" spans="1:34" s="24" customFormat="1" x14ac:dyDescent="0.2">
      <c r="C10" s="110"/>
      <c r="D10" s="24" t="s">
        <v>181</v>
      </c>
      <c r="E10" s="24" t="s">
        <v>168</v>
      </c>
      <c r="G10" s="24">
        <f t="shared" si="1"/>
        <v>384275510</v>
      </c>
      <c r="H10" s="24">
        <v>20000000</v>
      </c>
      <c r="I10" s="24">
        <f>364275510/4</f>
        <v>91068877.5</v>
      </c>
      <c r="J10" s="24">
        <f>364275510/4</f>
        <v>91068877.5</v>
      </c>
      <c r="K10" s="24">
        <f>364275510/4</f>
        <v>91068877.5</v>
      </c>
      <c r="L10" s="24">
        <f>364275510/4</f>
        <v>91068877.5</v>
      </c>
    </row>
    <row r="11" spans="1:34" s="24" customFormat="1" x14ac:dyDescent="0.2">
      <c r="D11" s="24" t="s">
        <v>19</v>
      </c>
      <c r="E11" s="24" t="s">
        <v>168</v>
      </c>
      <c r="G11" s="24">
        <f t="shared" si="1"/>
        <v>384275510</v>
      </c>
      <c r="H11" s="24">
        <f>SUM(H3:H10)</f>
        <v>20000000</v>
      </c>
      <c r="I11" s="24">
        <f>SUM(I3:I10)</f>
        <v>91068877.5</v>
      </c>
      <c r="J11" s="24">
        <f>SUM(J3:J10)</f>
        <v>91068877.5</v>
      </c>
      <c r="K11" s="24">
        <f>SUM(K3:K10)</f>
        <v>91068877.5</v>
      </c>
      <c r="L11" s="24">
        <f>SUM(L3:L10)</f>
        <v>91068877.5</v>
      </c>
    </row>
    <row r="12" spans="1:34" s="58" customFormat="1" x14ac:dyDescent="0.2">
      <c r="D12" s="58" t="s">
        <v>240</v>
      </c>
      <c r="E12" s="58" t="s">
        <v>168</v>
      </c>
      <c r="G12" s="59">
        <f>SUM(H12:AG12)</f>
        <v>351462393.87024164</v>
      </c>
      <c r="H12" s="59">
        <f>H11/'1_MODEL_assumptions'!H$36</f>
        <v>21400000</v>
      </c>
      <c r="I12" s="59">
        <f>I11/'1_MODEL_assumptions'!I$36</f>
        <v>91068877.5</v>
      </c>
      <c r="J12" s="59">
        <f>J11/'1_MODEL_assumptions'!J$36</f>
        <v>85111100.467289716</v>
      </c>
      <c r="K12" s="59">
        <f>K11/'1_MODEL_assumptions'!K$36</f>
        <v>79543084.548868895</v>
      </c>
      <c r="L12" s="59">
        <f>L11/'1_MODEL_assumptions'!L$36</f>
        <v>74339331.354083076</v>
      </c>
      <c r="M12" s="59">
        <f>M11/'1_MODEL_assumptions'!M$36</f>
        <v>0</v>
      </c>
      <c r="N12" s="59">
        <f>N11/'1_MODEL_assumptions'!N$36</f>
        <v>0</v>
      </c>
      <c r="O12" s="59">
        <f>O11/'1_MODEL_assumptions'!O$36</f>
        <v>0</v>
      </c>
      <c r="P12" s="59">
        <f>P11/'1_MODEL_assumptions'!P$36</f>
        <v>0</v>
      </c>
      <c r="Q12" s="59">
        <f>Q11/'1_MODEL_assumptions'!Q$36</f>
        <v>0</v>
      </c>
      <c r="R12" s="59">
        <f>R11/'1_MODEL_assumptions'!R$36</f>
        <v>0</v>
      </c>
      <c r="S12" s="59">
        <f>S11/'1_MODEL_assumptions'!S$36</f>
        <v>0</v>
      </c>
      <c r="T12" s="59">
        <f>T11/'1_MODEL_assumptions'!T$36</f>
        <v>0</v>
      </c>
      <c r="U12" s="59">
        <f>U11/'1_MODEL_assumptions'!U$36</f>
        <v>0</v>
      </c>
      <c r="V12" s="59">
        <f>V11/'1_MODEL_assumptions'!V$36</f>
        <v>0</v>
      </c>
      <c r="W12" s="59">
        <f>W11/'1_MODEL_assumptions'!W$36</f>
        <v>0</v>
      </c>
      <c r="X12" s="59">
        <f>X11/'1_MODEL_assumptions'!X$36</f>
        <v>0</v>
      </c>
      <c r="Y12" s="59">
        <f>Y11/'1_MODEL_assumptions'!Y$36</f>
        <v>0</v>
      </c>
      <c r="Z12" s="59">
        <f>Z11/'1_MODEL_assumptions'!Z$36</f>
        <v>0</v>
      </c>
      <c r="AA12" s="59">
        <f>AA11/'1_MODEL_assumptions'!AA$36</f>
        <v>0</v>
      </c>
      <c r="AB12" s="59">
        <f>AB11/'1_MODEL_assumptions'!AB$36</f>
        <v>0</v>
      </c>
      <c r="AC12" s="59">
        <f>AC11/'1_MODEL_assumptions'!AC$36</f>
        <v>0</v>
      </c>
      <c r="AD12" s="59">
        <f>AD11/'1_MODEL_assumptions'!AD$36</f>
        <v>0</v>
      </c>
      <c r="AE12" s="59">
        <f>AE11/'1_MODEL_assumptions'!AE$36</f>
        <v>0</v>
      </c>
      <c r="AF12" s="59">
        <f>AF11/'1_MODEL_assumptions'!AF$36</f>
        <v>0</v>
      </c>
      <c r="AG12" s="59">
        <f>AG11/'1_MODEL_assumptions'!AG$36</f>
        <v>0</v>
      </c>
      <c r="AH12" s="59">
        <f>AH11/'1_MODEL_assumptions'!AH$36</f>
        <v>0</v>
      </c>
    </row>
    <row r="14" spans="1:34" x14ac:dyDescent="0.2">
      <c r="C14" s="111" t="s">
        <v>431</v>
      </c>
      <c r="E14" s="24" t="s">
        <v>168</v>
      </c>
      <c r="G14" s="24">
        <f t="shared" ref="G14:G22" si="2">SUM(I14:AG14)</f>
        <v>0</v>
      </c>
      <c r="I14" s="24"/>
      <c r="J14" s="24">
        <v>0</v>
      </c>
      <c r="K14" s="24">
        <v>0</v>
      </c>
      <c r="L14" s="24">
        <v>0</v>
      </c>
      <c r="M14" s="24">
        <f t="shared" ref="M14:AH14" si="3">L14</f>
        <v>0</v>
      </c>
      <c r="N14" s="24">
        <f t="shared" si="3"/>
        <v>0</v>
      </c>
      <c r="O14" s="24">
        <f t="shared" si="3"/>
        <v>0</v>
      </c>
      <c r="P14" s="24">
        <f t="shared" si="3"/>
        <v>0</v>
      </c>
      <c r="Q14" s="24">
        <f t="shared" si="3"/>
        <v>0</v>
      </c>
      <c r="R14" s="24">
        <f t="shared" si="3"/>
        <v>0</v>
      </c>
      <c r="S14" s="24">
        <f t="shared" si="3"/>
        <v>0</v>
      </c>
      <c r="T14" s="24">
        <f t="shared" si="3"/>
        <v>0</v>
      </c>
      <c r="U14" s="24">
        <f t="shared" si="3"/>
        <v>0</v>
      </c>
      <c r="V14" s="24">
        <f t="shared" si="3"/>
        <v>0</v>
      </c>
      <c r="W14" s="24">
        <f t="shared" si="3"/>
        <v>0</v>
      </c>
      <c r="X14" s="24">
        <f t="shared" si="3"/>
        <v>0</v>
      </c>
      <c r="Y14" s="24">
        <f t="shared" si="3"/>
        <v>0</v>
      </c>
      <c r="Z14" s="24">
        <f t="shared" si="3"/>
        <v>0</v>
      </c>
      <c r="AA14" s="24">
        <f t="shared" si="3"/>
        <v>0</v>
      </c>
      <c r="AB14" s="24">
        <f t="shared" si="3"/>
        <v>0</v>
      </c>
      <c r="AC14" s="24">
        <f t="shared" si="3"/>
        <v>0</v>
      </c>
      <c r="AD14" s="24">
        <f t="shared" si="3"/>
        <v>0</v>
      </c>
      <c r="AE14" s="24">
        <f t="shared" si="3"/>
        <v>0</v>
      </c>
      <c r="AF14" s="24">
        <f t="shared" si="3"/>
        <v>0</v>
      </c>
      <c r="AG14" s="24">
        <f t="shared" si="3"/>
        <v>0</v>
      </c>
      <c r="AH14" s="24">
        <f t="shared" si="3"/>
        <v>0</v>
      </c>
    </row>
    <row r="15" spans="1:34" x14ac:dyDescent="0.2">
      <c r="C15" s="111"/>
      <c r="E15" s="24" t="s">
        <v>168</v>
      </c>
      <c r="F15" s="78"/>
      <c r="G15" s="24">
        <f t="shared" si="2"/>
        <v>0</v>
      </c>
      <c r="I15" s="24"/>
      <c r="J15" s="24">
        <v>0</v>
      </c>
      <c r="K15" s="24">
        <v>0</v>
      </c>
      <c r="L15" s="24">
        <v>0</v>
      </c>
      <c r="M15" s="24">
        <v>0</v>
      </c>
      <c r="N15" s="24">
        <f t="shared" ref="N15:AH15" si="4">M15</f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4">
        <f t="shared" si="4"/>
        <v>0</v>
      </c>
      <c r="V15" s="24">
        <f t="shared" si="4"/>
        <v>0</v>
      </c>
      <c r="W15" s="24">
        <f t="shared" si="4"/>
        <v>0</v>
      </c>
      <c r="X15" s="24">
        <f t="shared" si="4"/>
        <v>0</v>
      </c>
      <c r="Y15" s="24">
        <f t="shared" si="4"/>
        <v>0</v>
      </c>
      <c r="Z15" s="24">
        <f t="shared" si="4"/>
        <v>0</v>
      </c>
      <c r="AA15" s="24">
        <f t="shared" si="4"/>
        <v>0</v>
      </c>
      <c r="AB15" s="24">
        <f t="shared" si="4"/>
        <v>0</v>
      </c>
      <c r="AC15" s="24">
        <f t="shared" si="4"/>
        <v>0</v>
      </c>
      <c r="AD15" s="24">
        <f t="shared" si="4"/>
        <v>0</v>
      </c>
      <c r="AE15" s="24">
        <f t="shared" si="4"/>
        <v>0</v>
      </c>
      <c r="AF15" s="24">
        <f t="shared" si="4"/>
        <v>0</v>
      </c>
      <c r="AG15" s="24">
        <f t="shared" si="4"/>
        <v>0</v>
      </c>
      <c r="AH15" s="24">
        <f t="shared" si="4"/>
        <v>0</v>
      </c>
    </row>
    <row r="16" spans="1:34" x14ac:dyDescent="0.2">
      <c r="C16" s="111"/>
      <c r="E16" s="24" t="s">
        <v>168</v>
      </c>
      <c r="F16" s="78"/>
      <c r="G16" s="24">
        <f t="shared" si="2"/>
        <v>0</v>
      </c>
      <c r="I16" s="24"/>
      <c r="J16" s="24"/>
      <c r="K16" s="24"/>
      <c r="L16" s="24">
        <v>0</v>
      </c>
      <c r="M16" s="24">
        <v>0</v>
      </c>
      <c r="N16" s="24">
        <f t="shared" ref="N16:AH16" si="5">M16</f>
        <v>0</v>
      </c>
      <c r="O16" s="24">
        <f t="shared" si="5"/>
        <v>0</v>
      </c>
      <c r="P16" s="24">
        <f t="shared" si="5"/>
        <v>0</v>
      </c>
      <c r="Q16" s="24">
        <f t="shared" si="5"/>
        <v>0</v>
      </c>
      <c r="R16" s="24">
        <f t="shared" si="5"/>
        <v>0</v>
      </c>
      <c r="S16" s="24">
        <f t="shared" si="5"/>
        <v>0</v>
      </c>
      <c r="T16" s="24">
        <f t="shared" si="5"/>
        <v>0</v>
      </c>
      <c r="U16" s="24">
        <f t="shared" si="5"/>
        <v>0</v>
      </c>
      <c r="V16" s="24">
        <f t="shared" si="5"/>
        <v>0</v>
      </c>
      <c r="W16" s="24">
        <f t="shared" si="5"/>
        <v>0</v>
      </c>
      <c r="X16" s="24">
        <f t="shared" si="5"/>
        <v>0</v>
      </c>
      <c r="Y16" s="24">
        <f t="shared" si="5"/>
        <v>0</v>
      </c>
      <c r="Z16" s="24">
        <f t="shared" si="5"/>
        <v>0</v>
      </c>
      <c r="AA16" s="24">
        <f t="shared" si="5"/>
        <v>0</v>
      </c>
      <c r="AB16" s="24">
        <f t="shared" si="5"/>
        <v>0</v>
      </c>
      <c r="AC16" s="24">
        <f t="shared" si="5"/>
        <v>0</v>
      </c>
      <c r="AD16" s="24">
        <f t="shared" si="5"/>
        <v>0</v>
      </c>
      <c r="AE16" s="24">
        <f t="shared" si="5"/>
        <v>0</v>
      </c>
      <c r="AF16" s="24">
        <f t="shared" si="5"/>
        <v>0</v>
      </c>
      <c r="AG16" s="24">
        <f t="shared" si="5"/>
        <v>0</v>
      </c>
      <c r="AH16" s="24">
        <f t="shared" si="5"/>
        <v>0</v>
      </c>
    </row>
    <row r="17" spans="3:34" x14ac:dyDescent="0.2">
      <c r="C17" s="111"/>
      <c r="E17" s="24" t="s">
        <v>168</v>
      </c>
      <c r="F17" s="78"/>
      <c r="G17" s="24">
        <f t="shared" si="2"/>
        <v>0</v>
      </c>
      <c r="I17" s="24"/>
      <c r="J17" s="24"/>
      <c r="K17" s="24"/>
      <c r="L17" s="24"/>
      <c r="M17" s="24">
        <v>0</v>
      </c>
      <c r="N17" s="24">
        <f t="shared" ref="N17:AH17" si="6">M17</f>
        <v>0</v>
      </c>
      <c r="O17" s="24">
        <f t="shared" si="6"/>
        <v>0</v>
      </c>
      <c r="P17" s="24">
        <f t="shared" si="6"/>
        <v>0</v>
      </c>
      <c r="Q17" s="24">
        <f t="shared" si="6"/>
        <v>0</v>
      </c>
      <c r="R17" s="24">
        <f t="shared" si="6"/>
        <v>0</v>
      </c>
      <c r="S17" s="24">
        <f t="shared" si="6"/>
        <v>0</v>
      </c>
      <c r="T17" s="24">
        <f t="shared" si="6"/>
        <v>0</v>
      </c>
      <c r="U17" s="24">
        <f t="shared" si="6"/>
        <v>0</v>
      </c>
      <c r="V17" s="24">
        <f t="shared" si="6"/>
        <v>0</v>
      </c>
      <c r="W17" s="24">
        <f t="shared" si="6"/>
        <v>0</v>
      </c>
      <c r="X17" s="24">
        <f t="shared" si="6"/>
        <v>0</v>
      </c>
      <c r="Y17" s="24">
        <f t="shared" si="6"/>
        <v>0</v>
      </c>
      <c r="Z17" s="24">
        <f t="shared" si="6"/>
        <v>0</v>
      </c>
      <c r="AA17" s="24">
        <f t="shared" si="6"/>
        <v>0</v>
      </c>
      <c r="AB17" s="24">
        <f t="shared" si="6"/>
        <v>0</v>
      </c>
      <c r="AC17" s="24">
        <f t="shared" si="6"/>
        <v>0</v>
      </c>
      <c r="AD17" s="24">
        <f t="shared" si="6"/>
        <v>0</v>
      </c>
      <c r="AE17" s="24">
        <f t="shared" si="6"/>
        <v>0</v>
      </c>
      <c r="AF17" s="24">
        <f t="shared" si="6"/>
        <v>0</v>
      </c>
      <c r="AG17" s="24">
        <f t="shared" si="6"/>
        <v>0</v>
      </c>
      <c r="AH17" s="24">
        <f t="shared" si="6"/>
        <v>0</v>
      </c>
    </row>
    <row r="18" spans="3:34" x14ac:dyDescent="0.2">
      <c r="C18" s="111"/>
      <c r="D18" s="77"/>
      <c r="E18" s="24" t="s">
        <v>168</v>
      </c>
      <c r="G18" s="24">
        <f t="shared" si="2"/>
        <v>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3:34" x14ac:dyDescent="0.2">
      <c r="C19" s="111"/>
      <c r="D19" s="77"/>
      <c r="E19" s="24" t="s">
        <v>168</v>
      </c>
      <c r="G19" s="24">
        <f t="shared" si="2"/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3:34" x14ac:dyDescent="0.2">
      <c r="C20" s="111"/>
      <c r="D20" t="s">
        <v>179</v>
      </c>
      <c r="E20" s="24" t="s">
        <v>168</v>
      </c>
      <c r="G20" s="24">
        <f t="shared" si="2"/>
        <v>0</v>
      </c>
      <c r="I20" s="24"/>
      <c r="J20" s="90">
        <v>0</v>
      </c>
      <c r="K20" s="90">
        <v>0</v>
      </c>
      <c r="L20" s="90">
        <v>0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3:34" x14ac:dyDescent="0.2">
      <c r="C21" s="111"/>
      <c r="D21" t="s">
        <v>181</v>
      </c>
      <c r="E21" s="24" t="s">
        <v>168</v>
      </c>
      <c r="G21" s="24">
        <f t="shared" si="2"/>
        <v>29775000</v>
      </c>
      <c r="I21" s="24"/>
      <c r="J21" s="24">
        <f>1500000*('1_MODEL_assumptions'!J11/0.8)</f>
        <v>93750</v>
      </c>
      <c r="K21" s="24">
        <f>1500000*('1_MODEL_assumptions'!K11/0.8)</f>
        <v>150000</v>
      </c>
      <c r="L21" s="24">
        <f>1500000*('1_MODEL_assumptions'!L11/0.8)</f>
        <v>187500</v>
      </c>
      <c r="M21" s="24">
        <f>1500000*('1_MODEL_assumptions'!M11/0.8)</f>
        <v>750000</v>
      </c>
      <c r="N21" s="24">
        <f>1500000*('1_MODEL_assumptions'!N11/0.8)</f>
        <v>1031250</v>
      </c>
      <c r="O21" s="24">
        <f>1500000*('1_MODEL_assumptions'!O11/0.8)</f>
        <v>1181250</v>
      </c>
      <c r="P21" s="24">
        <f>1500000*('1_MODEL_assumptions'!P11/0.8)</f>
        <v>1246875</v>
      </c>
      <c r="Q21" s="24">
        <f>1500000*('1_MODEL_assumptions'!Q11/0.8)</f>
        <v>1312500</v>
      </c>
      <c r="R21" s="24">
        <f>1500000*('1_MODEL_assumptions'!R11/0.8)</f>
        <v>1378125</v>
      </c>
      <c r="S21" s="24">
        <f>1500000*('1_MODEL_assumptions'!S11/0.8)</f>
        <v>1443750.0000000002</v>
      </c>
      <c r="T21" s="24">
        <f>1500000*('1_MODEL_assumptions'!T11/0.8)</f>
        <v>1500000</v>
      </c>
      <c r="U21" s="24">
        <f t="shared" ref="U21:AH21" si="7">T21</f>
        <v>1500000</v>
      </c>
      <c r="V21" s="24">
        <f t="shared" si="7"/>
        <v>1500000</v>
      </c>
      <c r="W21" s="24">
        <f t="shared" si="7"/>
        <v>1500000</v>
      </c>
      <c r="X21" s="24">
        <f t="shared" si="7"/>
        <v>1500000</v>
      </c>
      <c r="Y21" s="24">
        <f t="shared" si="7"/>
        <v>1500000</v>
      </c>
      <c r="Z21" s="24">
        <f t="shared" si="7"/>
        <v>1500000</v>
      </c>
      <c r="AA21" s="24">
        <f t="shared" si="7"/>
        <v>1500000</v>
      </c>
      <c r="AB21" s="24">
        <f t="shared" si="7"/>
        <v>1500000</v>
      </c>
      <c r="AC21" s="24">
        <f t="shared" si="7"/>
        <v>1500000</v>
      </c>
      <c r="AD21" s="24">
        <f t="shared" si="7"/>
        <v>1500000</v>
      </c>
      <c r="AE21" s="24">
        <f t="shared" si="7"/>
        <v>1500000</v>
      </c>
      <c r="AF21" s="24">
        <f t="shared" si="7"/>
        <v>1500000</v>
      </c>
      <c r="AG21" s="24">
        <f t="shared" si="7"/>
        <v>1500000</v>
      </c>
      <c r="AH21" s="24">
        <f t="shared" si="7"/>
        <v>1500000</v>
      </c>
    </row>
    <row r="22" spans="3:34" s="1" customFormat="1" x14ac:dyDescent="0.2">
      <c r="D22" s="1" t="s">
        <v>19</v>
      </c>
      <c r="E22" s="24" t="s">
        <v>168</v>
      </c>
      <c r="G22" s="24">
        <f t="shared" si="2"/>
        <v>29775000</v>
      </c>
      <c r="I22" s="27">
        <f t="shared" ref="I22:AG22" si="8">SUM(I14:I21)</f>
        <v>0</v>
      </c>
      <c r="J22" s="27">
        <f t="shared" si="8"/>
        <v>93750</v>
      </c>
      <c r="K22" s="27">
        <f t="shared" si="8"/>
        <v>150000</v>
      </c>
      <c r="L22" s="27">
        <f t="shared" si="8"/>
        <v>187500</v>
      </c>
      <c r="M22" s="27">
        <f t="shared" si="8"/>
        <v>750000</v>
      </c>
      <c r="N22" s="27">
        <f t="shared" si="8"/>
        <v>1031250</v>
      </c>
      <c r="O22" s="27">
        <f t="shared" si="8"/>
        <v>1181250</v>
      </c>
      <c r="P22" s="27">
        <f t="shared" si="8"/>
        <v>1246875</v>
      </c>
      <c r="Q22" s="27">
        <f t="shared" si="8"/>
        <v>1312500</v>
      </c>
      <c r="R22" s="27">
        <f t="shared" si="8"/>
        <v>1378125</v>
      </c>
      <c r="S22" s="27">
        <f t="shared" si="8"/>
        <v>1443750.0000000002</v>
      </c>
      <c r="T22" s="27">
        <f t="shared" si="8"/>
        <v>1500000</v>
      </c>
      <c r="U22" s="27">
        <f t="shared" si="8"/>
        <v>1500000</v>
      </c>
      <c r="V22" s="27">
        <f t="shared" si="8"/>
        <v>1500000</v>
      </c>
      <c r="W22" s="27">
        <f t="shared" si="8"/>
        <v>1500000</v>
      </c>
      <c r="X22" s="27">
        <f t="shared" si="8"/>
        <v>1500000</v>
      </c>
      <c r="Y22" s="27">
        <f t="shared" si="8"/>
        <v>1500000</v>
      </c>
      <c r="Z22" s="27">
        <f t="shared" si="8"/>
        <v>1500000</v>
      </c>
      <c r="AA22" s="27">
        <f t="shared" si="8"/>
        <v>1500000</v>
      </c>
      <c r="AB22" s="27">
        <f t="shared" si="8"/>
        <v>1500000</v>
      </c>
      <c r="AC22" s="27">
        <f t="shared" si="8"/>
        <v>1500000</v>
      </c>
      <c r="AD22" s="27">
        <f t="shared" si="8"/>
        <v>1500000</v>
      </c>
      <c r="AE22" s="27">
        <f t="shared" si="8"/>
        <v>1500000</v>
      </c>
      <c r="AF22" s="27">
        <f t="shared" si="8"/>
        <v>1500000</v>
      </c>
      <c r="AG22" s="27">
        <f t="shared" si="8"/>
        <v>1500000</v>
      </c>
      <c r="AH22" s="27">
        <f t="shared" ref="AH22" si="9">SUM(AH14:AH21)</f>
        <v>1500000</v>
      </c>
    </row>
    <row r="23" spans="3:34" s="58" customFormat="1" x14ac:dyDescent="0.2">
      <c r="D23" s="58" t="s">
        <v>240</v>
      </c>
      <c r="E23" s="58" t="s">
        <v>168</v>
      </c>
      <c r="G23" s="59">
        <f>SUM(H23:AG23)</f>
        <v>12158788.345469911</v>
      </c>
      <c r="H23" s="59"/>
      <c r="I23" s="59">
        <f>I22/'1_MODEL_assumptions'!I$36</f>
        <v>0</v>
      </c>
      <c r="J23" s="59">
        <f>J22/'1_MODEL_assumptions'!J$36</f>
        <v>87616.822429906533</v>
      </c>
      <c r="K23" s="59">
        <f>K22/'1_MODEL_assumptions'!K$36</f>
        <v>131015.80924098175</v>
      </c>
      <c r="L23" s="59">
        <f>L22/'1_MODEL_assumptions'!L$36</f>
        <v>153055.85191703474</v>
      </c>
      <c r="M23" s="59">
        <f>M22/'1_MODEL_assumptions'!M$36</f>
        <v>572171.40903564391</v>
      </c>
      <c r="N23" s="59">
        <f>N22/'1_MODEL_assumptions'!N$36</f>
        <v>735266.99759253301</v>
      </c>
      <c r="O23" s="59">
        <f>O22/'1_MODEL_assumptions'!O$36</f>
        <v>787116.75188325543</v>
      </c>
      <c r="P23" s="59">
        <f>P22/'1_MODEL_assumptions'!P$36</f>
        <v>776491.0844123495</v>
      </c>
      <c r="Q23" s="59">
        <f>Q22/'1_MODEL_assumptions'!Q$36</f>
        <v>763886.949741613</v>
      </c>
      <c r="R23" s="59">
        <f>R22/'1_MODEL_assumptions'!R$36</f>
        <v>749608.68899877893</v>
      </c>
      <c r="S23" s="59">
        <f>S22/'1_MODEL_assumptions'!S$36</f>
        <v>733929.29051949899</v>
      </c>
      <c r="T23" s="59">
        <f>T22/'1_MODEL_assumptions'!T$36</f>
        <v>712639.19458138</v>
      </c>
      <c r="U23" s="59">
        <f>U22/'1_MODEL_assumptions'!U$36</f>
        <v>666017.93886110291</v>
      </c>
      <c r="V23" s="59">
        <f>V22/'1_MODEL_assumptions'!V$36</f>
        <v>622446.67183280643</v>
      </c>
      <c r="W23" s="59">
        <f>W22/'1_MODEL_assumptions'!W$36</f>
        <v>581725.86152598739</v>
      </c>
      <c r="X23" s="59">
        <f>X22/'1_MODEL_assumptions'!X$36</f>
        <v>543669.02946353948</v>
      </c>
      <c r="Y23" s="59">
        <f>Y22/'1_MODEL_assumptions'!Y$36</f>
        <v>508101.8966948968</v>
      </c>
      <c r="Z23" s="59">
        <f>Z22/'1_MODEL_assumptions'!Z$36</f>
        <v>474861.58569616522</v>
      </c>
      <c r="AA23" s="59">
        <f>AA22/'1_MODEL_assumptions'!AA$36</f>
        <v>443795.8744823974</v>
      </c>
      <c r="AB23" s="59">
        <f>AB22/'1_MODEL_assumptions'!AB$36</f>
        <v>414762.49951625924</v>
      </c>
      <c r="AC23" s="59">
        <f>AC22/'1_MODEL_assumptions'!AC$36</f>
        <v>387628.50422080304</v>
      </c>
      <c r="AD23" s="59">
        <f>AD22/'1_MODEL_assumptions'!AD$36</f>
        <v>362269.63011290005</v>
      </c>
      <c r="AE23" s="59">
        <f>AE22/'1_MODEL_assumptions'!AE$36</f>
        <v>338569.74776906543</v>
      </c>
      <c r="AF23" s="59">
        <f>AF22/'1_MODEL_assumptions'!AF$36</f>
        <v>316420.32501781819</v>
      </c>
      <c r="AG23" s="59">
        <f>AG22/'1_MODEL_assumptions'!AG$36</f>
        <v>295719.92992319452</v>
      </c>
      <c r="AH23" s="59">
        <f>AH22/'1_MODEL_assumptions'!AH$36</f>
        <v>276373.76628335938</v>
      </c>
    </row>
    <row r="26" spans="3:34" x14ac:dyDescent="0.2">
      <c r="C26" s="112" t="s">
        <v>393</v>
      </c>
      <c r="D26" t="s">
        <v>327</v>
      </c>
      <c r="E26" s="24" t="s">
        <v>168</v>
      </c>
      <c r="G26" s="24">
        <f>SUM(I26:AG26)</f>
        <v>38625000</v>
      </c>
      <c r="I26" s="24">
        <v>125000</v>
      </c>
      <c r="J26" s="24">
        <f>I26</f>
        <v>125000</v>
      </c>
      <c r="K26" s="24">
        <f>J26</f>
        <v>125000</v>
      </c>
      <c r="L26" s="24">
        <f>K26</f>
        <v>125000</v>
      </c>
      <c r="M26" s="24">
        <f>L26</f>
        <v>125000</v>
      </c>
      <c r="N26" s="24">
        <f>38000000/2</f>
        <v>19000000</v>
      </c>
      <c r="O26" s="24">
        <f>38000000/2</f>
        <v>19000000</v>
      </c>
      <c r="P26" s="24">
        <f t="shared" ref="P26:AG26" si="10">P15</f>
        <v>0</v>
      </c>
      <c r="Q26" s="24">
        <f t="shared" si="10"/>
        <v>0</v>
      </c>
      <c r="R26" s="24">
        <f t="shared" si="10"/>
        <v>0</v>
      </c>
      <c r="S26" s="24">
        <f t="shared" si="10"/>
        <v>0</v>
      </c>
      <c r="T26" s="24">
        <f t="shared" si="10"/>
        <v>0</v>
      </c>
      <c r="U26" s="24">
        <f t="shared" si="10"/>
        <v>0</v>
      </c>
      <c r="V26" s="24">
        <f t="shared" si="10"/>
        <v>0</v>
      </c>
      <c r="W26" s="24">
        <f t="shared" si="10"/>
        <v>0</v>
      </c>
      <c r="X26" s="24">
        <f t="shared" si="10"/>
        <v>0</v>
      </c>
      <c r="Y26" s="24">
        <f t="shared" si="10"/>
        <v>0</v>
      </c>
      <c r="Z26" s="24">
        <f t="shared" si="10"/>
        <v>0</v>
      </c>
      <c r="AA26" s="24">
        <f t="shared" si="10"/>
        <v>0</v>
      </c>
      <c r="AB26" s="24">
        <f t="shared" si="10"/>
        <v>0</v>
      </c>
      <c r="AC26" s="24">
        <f t="shared" si="10"/>
        <v>0</v>
      </c>
      <c r="AD26" s="24">
        <f t="shared" si="10"/>
        <v>0</v>
      </c>
      <c r="AE26" s="24">
        <f t="shared" si="10"/>
        <v>0</v>
      </c>
      <c r="AF26" s="24">
        <f t="shared" si="10"/>
        <v>0</v>
      </c>
      <c r="AG26" s="24">
        <f t="shared" si="10"/>
        <v>0</v>
      </c>
      <c r="AH26" s="24">
        <f t="shared" ref="AH26" si="11">AH15</f>
        <v>0</v>
      </c>
    </row>
    <row r="27" spans="3:34" x14ac:dyDescent="0.2">
      <c r="C27" s="112"/>
      <c r="D27" t="s">
        <v>324</v>
      </c>
      <c r="E27" s="24" t="s">
        <v>168</v>
      </c>
      <c r="G27" s="24">
        <f>SUM(I27:AG27)</f>
        <v>2226000</v>
      </c>
      <c r="I27" s="24">
        <f>420000*'1_MODEL_assumptions'!I8</f>
        <v>13440</v>
      </c>
      <c r="J27" s="24">
        <f>420000*'1_MODEL_assumptions'!J8</f>
        <v>19740</v>
      </c>
      <c r="K27" s="24">
        <f>420000*'1_MODEL_assumptions'!K8</f>
        <v>26040</v>
      </c>
      <c r="L27" s="24">
        <f>420000*'1_MODEL_assumptions'!L8</f>
        <v>32340</v>
      </c>
      <c r="M27" s="24">
        <f>420000*'1_MODEL_assumptions'!M8</f>
        <v>38640</v>
      </c>
      <c r="N27" s="24">
        <f>420000*'1_MODEL_assumptions'!N8</f>
        <v>44940</v>
      </c>
      <c r="O27" s="24">
        <f>420000*'1_MODEL_assumptions'!O8</f>
        <v>51240</v>
      </c>
      <c r="P27" s="24">
        <f>420000*'1_MODEL_assumptions'!P8</f>
        <v>57540.000000000007</v>
      </c>
      <c r="Q27" s="24">
        <f>420000*'1_MODEL_assumptions'!Q8</f>
        <v>63840.000000000007</v>
      </c>
      <c r="R27" s="24">
        <f>420000*'1_MODEL_assumptions'!R8</f>
        <v>70140.000000000015</v>
      </c>
      <c r="S27" s="24">
        <f>420000*'1_MODEL_assumptions'!S8</f>
        <v>76440.000000000015</v>
      </c>
      <c r="T27" s="24">
        <f>420000*'1_MODEL_assumptions'!T8</f>
        <v>82740.000000000029</v>
      </c>
      <c r="U27" s="24">
        <f>420000*'1_MODEL_assumptions'!U8</f>
        <v>89040.000000000029</v>
      </c>
      <c r="V27" s="24">
        <f>420000*'1_MODEL_assumptions'!V8</f>
        <v>95340.000000000044</v>
      </c>
      <c r="W27" s="24">
        <f>420000*'1_MODEL_assumptions'!W8</f>
        <v>101640.00000000004</v>
      </c>
      <c r="X27" s="24">
        <f>420000*'1_MODEL_assumptions'!X8</f>
        <v>107940.00000000004</v>
      </c>
      <c r="Y27" s="24">
        <f>420000*'1_MODEL_assumptions'!Y8</f>
        <v>114240.00000000006</v>
      </c>
      <c r="Z27" s="24">
        <f>420000*'1_MODEL_assumptions'!Z8</f>
        <v>120540.00000000006</v>
      </c>
      <c r="AA27" s="24">
        <f>420000*'1_MODEL_assumptions'!AA8</f>
        <v>126840.00000000007</v>
      </c>
      <c r="AB27" s="24">
        <f>420000*'1_MODEL_assumptions'!AB8</f>
        <v>133140.00000000006</v>
      </c>
      <c r="AC27" s="24">
        <f>420000*'1_MODEL_assumptions'!AC8</f>
        <v>139440.00000000009</v>
      </c>
      <c r="AD27" s="24">
        <f>420000*'1_MODEL_assumptions'!AD8</f>
        <v>145740.00000000009</v>
      </c>
      <c r="AE27" s="24">
        <f>420000*'1_MODEL_assumptions'!AE8</f>
        <v>152040.00000000009</v>
      </c>
      <c r="AF27" s="24">
        <f>420000*'1_MODEL_assumptions'!AF8</f>
        <v>158340.00000000009</v>
      </c>
      <c r="AG27" s="24">
        <f>420000*'1_MODEL_assumptions'!AG8</f>
        <v>164640.00000000009</v>
      </c>
      <c r="AH27" s="24">
        <f>420000*'1_MODEL_assumptions'!AH8</f>
        <v>170940.00000000012</v>
      </c>
    </row>
    <row r="28" spans="3:34" x14ac:dyDescent="0.2">
      <c r="C28" s="112"/>
      <c r="D28" t="s">
        <v>326</v>
      </c>
      <c r="E28" s="24" t="s">
        <v>168</v>
      </c>
      <c r="G28" s="24">
        <f>SUM(I28:AG28)</f>
        <v>9664000</v>
      </c>
      <c r="I28" s="24">
        <f>880000*'1_MODEL_assumptions'!I8</f>
        <v>28160</v>
      </c>
      <c r="J28" s="24">
        <f>880000*'1_MODEL_assumptions'!J8</f>
        <v>41360</v>
      </c>
      <c r="K28" s="24">
        <f>880000*'1_MODEL_assumptions'!K8</f>
        <v>54560</v>
      </c>
      <c r="L28" s="24">
        <f>880000*'1_MODEL_assumptions'!L8</f>
        <v>67760</v>
      </c>
      <c r="M28" s="24">
        <f>880000*'1_MODEL_assumptions'!M8</f>
        <v>80960</v>
      </c>
      <c r="N28" s="24">
        <f>880000*'1_MODEL_assumptions'!N8</f>
        <v>94160</v>
      </c>
      <c r="O28" s="24">
        <f>880000*'1_MODEL_assumptions'!O8</f>
        <v>107360</v>
      </c>
      <c r="P28" s="24">
        <f>880000*'1_MODEL_assumptions'!P8</f>
        <v>120560.00000000001</v>
      </c>
      <c r="Q28" s="24">
        <f>880000*'1_MODEL_assumptions'!Q8</f>
        <v>133760.00000000003</v>
      </c>
      <c r="R28" s="24">
        <f>880000*'1_MODEL_assumptions'!R8+2500000</f>
        <v>2646960</v>
      </c>
      <c r="S28" s="24">
        <f>880000*'1_MODEL_assumptions'!S8</f>
        <v>160160.00000000006</v>
      </c>
      <c r="T28" s="24">
        <f>880000*'1_MODEL_assumptions'!T8</f>
        <v>173360.00000000006</v>
      </c>
      <c r="U28" s="24">
        <f>880000*'1_MODEL_assumptions'!U8</f>
        <v>186560.00000000006</v>
      </c>
      <c r="V28" s="24">
        <f>880000*'1_MODEL_assumptions'!V8</f>
        <v>199760.00000000009</v>
      </c>
      <c r="W28" s="24">
        <f>880000*'1_MODEL_assumptions'!W8</f>
        <v>212960.00000000009</v>
      </c>
      <c r="X28" s="24">
        <f>880000*'1_MODEL_assumptions'!X8</f>
        <v>226160.00000000012</v>
      </c>
      <c r="Y28" s="24">
        <f>880000*'1_MODEL_assumptions'!Y8</f>
        <v>239360.00000000012</v>
      </c>
      <c r="Z28" s="24">
        <f>880000*'1_MODEL_assumptions'!Z8</f>
        <v>252560.00000000012</v>
      </c>
      <c r="AA28" s="24">
        <f>880000*'1_MODEL_assumptions'!AA8</f>
        <v>265760.00000000012</v>
      </c>
      <c r="AB28" s="24">
        <f>880000*'1_MODEL_assumptions'!AB8</f>
        <v>278960.00000000017</v>
      </c>
      <c r="AC28" s="24">
        <f>880000*'1_MODEL_assumptions'!AC8+2500000</f>
        <v>2792160</v>
      </c>
      <c r="AD28" s="24">
        <f>880000*'1_MODEL_assumptions'!AD8</f>
        <v>305360.00000000017</v>
      </c>
      <c r="AE28" s="24">
        <f>880000*'1_MODEL_assumptions'!AE8</f>
        <v>318560.00000000017</v>
      </c>
      <c r="AF28" s="24">
        <f>880000*'1_MODEL_assumptions'!AF8</f>
        <v>331760.00000000017</v>
      </c>
      <c r="AG28" s="24">
        <f>880000*'1_MODEL_assumptions'!AG8</f>
        <v>344960.00000000023</v>
      </c>
      <c r="AH28" s="24">
        <f>880000*'1_MODEL_assumptions'!AH8</f>
        <v>358160.00000000023</v>
      </c>
    </row>
    <row r="29" spans="3:34" x14ac:dyDescent="0.2">
      <c r="C29" s="112"/>
      <c r="D29" t="s">
        <v>325</v>
      </c>
      <c r="E29" s="24" t="s">
        <v>168</v>
      </c>
      <c r="G29" s="24">
        <f>SUM(I29:AG29)</f>
        <v>25905000</v>
      </c>
      <c r="I29" s="24">
        <f>2600000*'1_MODEL_assumptions'!I8+485000</f>
        <v>568200</v>
      </c>
      <c r="J29" s="24">
        <f>2600000*'1_MODEL_assumptions'!J8+485000</f>
        <v>607200</v>
      </c>
      <c r="K29" s="24">
        <f>2600000*'1_MODEL_assumptions'!K8+485000</f>
        <v>646200</v>
      </c>
      <c r="L29" s="24">
        <f>2600000*'1_MODEL_assumptions'!L8+485000</f>
        <v>685200</v>
      </c>
      <c r="M29" s="24">
        <f>2600000*'1_MODEL_assumptions'!M8+485000</f>
        <v>724200</v>
      </c>
      <c r="N29" s="24">
        <f>2600000*'1_MODEL_assumptions'!N8+485000</f>
        <v>763200</v>
      </c>
      <c r="O29" s="24">
        <f>2600000*'1_MODEL_assumptions'!O8+485000</f>
        <v>802200</v>
      </c>
      <c r="P29" s="24">
        <f>2600000*'1_MODEL_assumptions'!P8+485000</f>
        <v>841200</v>
      </c>
      <c r="Q29" s="24">
        <f>2600000*'1_MODEL_assumptions'!Q8+485000</f>
        <v>880200</v>
      </c>
      <c r="R29" s="24">
        <f>2600000*'1_MODEL_assumptions'!R8+485000</f>
        <v>919200.00000000012</v>
      </c>
      <c r="S29" s="24">
        <f>2600000*'1_MODEL_assumptions'!S8+485000</f>
        <v>958200.00000000012</v>
      </c>
      <c r="T29" s="24">
        <f>2600000*'1_MODEL_assumptions'!T8+485000</f>
        <v>997200.00000000023</v>
      </c>
      <c r="U29" s="24">
        <f>2600000*'1_MODEL_assumptions'!U8+485000</f>
        <v>1036200.0000000002</v>
      </c>
      <c r="V29" s="24">
        <f>2600000*'1_MODEL_assumptions'!V8+485000</f>
        <v>1075200.0000000002</v>
      </c>
      <c r="W29" s="24">
        <f>2600000*'1_MODEL_assumptions'!W8+485000</f>
        <v>1114200.0000000002</v>
      </c>
      <c r="X29" s="24">
        <f>2600000*'1_MODEL_assumptions'!X8+485000</f>
        <v>1153200.0000000005</v>
      </c>
      <c r="Y29" s="24">
        <f>2600000*'1_MODEL_assumptions'!Y8+485000</f>
        <v>1192200.0000000005</v>
      </c>
      <c r="Z29" s="24">
        <f>2600000*'1_MODEL_assumptions'!Z8+485000</f>
        <v>1231200.0000000005</v>
      </c>
      <c r="AA29" s="24">
        <f>2600000*'1_MODEL_assumptions'!AA8+485000</f>
        <v>1270200.0000000005</v>
      </c>
      <c r="AB29" s="24">
        <f>2600000*'1_MODEL_assumptions'!AB8+485000</f>
        <v>1309200.0000000005</v>
      </c>
      <c r="AC29" s="24">
        <f>2600000*'1_MODEL_assumptions'!AC8+485000</f>
        <v>1348200.0000000005</v>
      </c>
      <c r="AD29" s="24">
        <f>2600000*'1_MODEL_assumptions'!AD8+485000</f>
        <v>1387200.0000000005</v>
      </c>
      <c r="AE29" s="24">
        <f>2600000*'1_MODEL_assumptions'!AE8+485000</f>
        <v>1426200.0000000005</v>
      </c>
      <c r="AF29" s="24">
        <f>2600000*'1_MODEL_assumptions'!AF8+485000</f>
        <v>1465200.0000000005</v>
      </c>
      <c r="AG29" s="24">
        <f>2600000*'1_MODEL_assumptions'!AG8+485000</f>
        <v>1504200.0000000005</v>
      </c>
      <c r="AH29" s="24">
        <f>2600000*'1_MODEL_assumptions'!AH8+485000</f>
        <v>1543200.0000000007</v>
      </c>
    </row>
    <row r="30" spans="3:34" x14ac:dyDescent="0.2">
      <c r="D30" t="s">
        <v>19</v>
      </c>
      <c r="E30" s="24" t="s">
        <v>168</v>
      </c>
      <c r="G30" s="24">
        <f>SUM(I30:AG30)</f>
        <v>76420000</v>
      </c>
      <c r="I30" s="24">
        <f t="shared" ref="I30:AG30" si="12">SUM(I26:I29)</f>
        <v>734800</v>
      </c>
      <c r="J30" s="24">
        <f t="shared" si="12"/>
        <v>793300</v>
      </c>
      <c r="K30" s="24">
        <f t="shared" si="12"/>
        <v>851800</v>
      </c>
      <c r="L30" s="24">
        <f t="shared" si="12"/>
        <v>910300</v>
      </c>
      <c r="M30" s="24">
        <f t="shared" si="12"/>
        <v>968800</v>
      </c>
      <c r="N30" s="24">
        <f t="shared" si="12"/>
        <v>19902300</v>
      </c>
      <c r="O30" s="24">
        <f t="shared" si="12"/>
        <v>19960800</v>
      </c>
      <c r="P30" s="24">
        <f t="shared" si="12"/>
        <v>1019300</v>
      </c>
      <c r="Q30" s="24">
        <f t="shared" si="12"/>
        <v>1077800</v>
      </c>
      <c r="R30" s="24">
        <f t="shared" si="12"/>
        <v>3636300</v>
      </c>
      <c r="S30" s="24">
        <f t="shared" si="12"/>
        <v>1194800.0000000002</v>
      </c>
      <c r="T30" s="24">
        <f t="shared" si="12"/>
        <v>1253300.0000000002</v>
      </c>
      <c r="U30" s="24">
        <f t="shared" si="12"/>
        <v>1311800.0000000005</v>
      </c>
      <c r="V30" s="24">
        <f t="shared" si="12"/>
        <v>1370300.0000000005</v>
      </c>
      <c r="W30" s="24">
        <f t="shared" si="12"/>
        <v>1428800.0000000005</v>
      </c>
      <c r="X30" s="24">
        <f t="shared" si="12"/>
        <v>1487300.0000000007</v>
      </c>
      <c r="Y30" s="24">
        <f t="shared" si="12"/>
        <v>1545800.0000000007</v>
      </c>
      <c r="Z30" s="24">
        <f t="shared" si="12"/>
        <v>1604300.0000000007</v>
      </c>
      <c r="AA30" s="24">
        <f t="shared" si="12"/>
        <v>1662800.0000000007</v>
      </c>
      <c r="AB30" s="24">
        <f t="shared" si="12"/>
        <v>1721300.0000000007</v>
      </c>
      <c r="AC30" s="24">
        <f t="shared" si="12"/>
        <v>4279800</v>
      </c>
      <c r="AD30" s="24">
        <f t="shared" si="12"/>
        <v>1838300.0000000007</v>
      </c>
      <c r="AE30" s="24">
        <f t="shared" si="12"/>
        <v>1896800.0000000007</v>
      </c>
      <c r="AF30" s="24">
        <f t="shared" si="12"/>
        <v>1955300.0000000007</v>
      </c>
      <c r="AG30" s="24">
        <f t="shared" si="12"/>
        <v>2013800.0000000009</v>
      </c>
      <c r="AH30" s="24">
        <f t="shared" ref="AH30" si="13">SUM(AH26:AH29)</f>
        <v>2072300.0000000009</v>
      </c>
    </row>
    <row r="31" spans="3:34" s="58" customFormat="1" x14ac:dyDescent="0.2">
      <c r="D31" s="58" t="s">
        <v>240</v>
      </c>
      <c r="E31" s="58" t="s">
        <v>168</v>
      </c>
      <c r="G31" s="59">
        <f>SUM(H31:AG31)</f>
        <v>42667167.197869338</v>
      </c>
      <c r="H31" s="59"/>
      <c r="I31" s="61">
        <f>I30/'1_MODEL_assumptions'!I$36</f>
        <v>734800</v>
      </c>
      <c r="J31" s="61">
        <f>J30/'1_MODEL_assumptions'!J$36</f>
        <v>741401.86915887846</v>
      </c>
      <c r="K31" s="61">
        <f>K30/'1_MODEL_assumptions'!K$36</f>
        <v>743995.10874312161</v>
      </c>
      <c r="L31" s="61">
        <f>L30/'1_MODEL_assumptions'!L$36</f>
        <v>743075.95733374252</v>
      </c>
      <c r="M31" s="61">
        <f>M30/'1_MODEL_assumptions'!M$36</f>
        <v>739092.88143164245</v>
      </c>
      <c r="N31" s="61">
        <f>N30/'1_MODEL_assumptions'!N$36</f>
        <v>14190064.839937814</v>
      </c>
      <c r="O31" s="61">
        <f>O30/'1_MODEL_assumptions'!O$36</f>
        <v>13300723.861156644</v>
      </c>
      <c r="P31" s="61">
        <f>P30/'1_MODEL_assumptions'!P$36</f>
        <v>634768.81190296367</v>
      </c>
      <c r="Q31" s="61">
        <f>Q30/'1_MODEL_assumptions'!Q$36</f>
        <v>627289.41290019848</v>
      </c>
      <c r="R31" s="61">
        <f>R30/'1_MODEL_assumptions'!R$36</f>
        <v>1977906.2681587373</v>
      </c>
      <c r="S31" s="61">
        <f>S30/'1_MODEL_assumptions'!S$36</f>
        <v>607375.73424256092</v>
      </c>
      <c r="T31" s="61">
        <f>T30/'1_MODEL_assumptions'!T$36</f>
        <v>595433.80171256245</v>
      </c>
      <c r="U31" s="61">
        <f>U30/'1_MODEL_assumptions'!U$36</f>
        <v>582454.88813199673</v>
      </c>
      <c r="V31" s="61">
        <f>V30/'1_MODEL_assumptions'!V$36</f>
        <v>568625.78294166329</v>
      </c>
      <c r="W31" s="61">
        <f>W30/'1_MODEL_assumptions'!W$36</f>
        <v>554113.27396555396</v>
      </c>
      <c r="X31" s="61">
        <f>X30/'1_MODEL_assumptions'!X$36</f>
        <v>539065.9650140818</v>
      </c>
      <c r="Y31" s="61">
        <f>Y30/'1_MODEL_assumptions'!Y$36</f>
        <v>523615.94127398124</v>
      </c>
      <c r="Z31" s="61">
        <f>Z30/'1_MODEL_assumptions'!Z$36</f>
        <v>507880.29462157213</v>
      </c>
      <c r="AA31" s="61">
        <f>AA30/'1_MODEL_assumptions'!AA$36</f>
        <v>491962.52005955379</v>
      </c>
      <c r="AB31" s="61">
        <f>AB30/'1_MODEL_assumptions'!AB$36</f>
        <v>475953.79361155821</v>
      </c>
      <c r="AC31" s="61">
        <f>AC30/'1_MODEL_assumptions'!AC$36</f>
        <v>1105981.6482427954</v>
      </c>
      <c r="AD31" s="61">
        <f>AD30/'1_MODEL_assumptions'!AD$36</f>
        <v>443973.50735769625</v>
      </c>
      <c r="AE31" s="61">
        <f>AE30/'1_MODEL_assumptions'!AE$36</f>
        <v>428132.73171224241</v>
      </c>
      <c r="AF31" s="61">
        <f>AF30/'1_MODEL_assumptions'!AF$36</f>
        <v>412464.44100489339</v>
      </c>
      <c r="AG31" s="61">
        <f>AG30/'1_MODEL_assumptions'!AG$36</f>
        <v>397013.86325288628</v>
      </c>
      <c r="AH31" s="61">
        <f>AH30/'1_MODEL_assumptions'!AH$36</f>
        <v>381819.57057933725</v>
      </c>
    </row>
    <row r="32" spans="3:34" x14ac:dyDescent="0.2">
      <c r="G32" s="25"/>
    </row>
    <row r="33" spans="4:34" x14ac:dyDescent="0.2">
      <c r="D33" t="s">
        <v>407</v>
      </c>
      <c r="E33" s="24" t="s">
        <v>168</v>
      </c>
      <c r="F33" t="s">
        <v>365</v>
      </c>
      <c r="G33" s="57">
        <f>G23+G31</f>
        <v>54825955.543339252</v>
      </c>
      <c r="I33" s="57">
        <f t="shared" ref="I33:AG33" si="14">I23+I31</f>
        <v>734800</v>
      </c>
      <c r="J33" s="57">
        <f t="shared" si="14"/>
        <v>829018.69158878503</v>
      </c>
      <c r="K33" s="57">
        <f t="shared" si="14"/>
        <v>875010.91798410332</v>
      </c>
      <c r="L33" s="57">
        <f t="shared" si="14"/>
        <v>896131.80925077724</v>
      </c>
      <c r="M33" s="57">
        <f t="shared" si="14"/>
        <v>1311264.2904672865</v>
      </c>
      <c r="N33" s="57">
        <f t="shared" si="14"/>
        <v>14925331.837530347</v>
      </c>
      <c r="O33" s="57">
        <f t="shared" si="14"/>
        <v>14087840.6130399</v>
      </c>
      <c r="P33" s="57">
        <f t="shared" si="14"/>
        <v>1411259.8963153132</v>
      </c>
      <c r="Q33" s="57">
        <f t="shared" si="14"/>
        <v>1391176.3626418114</v>
      </c>
      <c r="R33" s="57">
        <f t="shared" si="14"/>
        <v>2727514.9571575164</v>
      </c>
      <c r="S33" s="57">
        <f t="shared" si="14"/>
        <v>1341305.02476206</v>
      </c>
      <c r="T33" s="57">
        <f t="shared" si="14"/>
        <v>1308072.9962939424</v>
      </c>
      <c r="U33" s="57">
        <f t="shared" si="14"/>
        <v>1248472.8269930996</v>
      </c>
      <c r="V33" s="57">
        <f t="shared" si="14"/>
        <v>1191072.4547744696</v>
      </c>
      <c r="W33" s="57">
        <f t="shared" si="14"/>
        <v>1135839.1354915414</v>
      </c>
      <c r="X33" s="57">
        <f t="shared" si="14"/>
        <v>1082734.9944776213</v>
      </c>
      <c r="Y33" s="57">
        <f t="shared" si="14"/>
        <v>1031717.837968878</v>
      </c>
      <c r="Z33" s="57">
        <f t="shared" si="14"/>
        <v>982741.88031773735</v>
      </c>
      <c r="AA33" s="57">
        <f t="shared" si="14"/>
        <v>935758.39454195113</v>
      </c>
      <c r="AB33" s="57">
        <f t="shared" si="14"/>
        <v>890716.29312781745</v>
      </c>
      <c r="AC33" s="57">
        <f t="shared" si="14"/>
        <v>1493610.1524635984</v>
      </c>
      <c r="AD33" s="57">
        <f t="shared" si="14"/>
        <v>806243.13747059624</v>
      </c>
      <c r="AE33" s="57">
        <f t="shared" si="14"/>
        <v>766702.47948130779</v>
      </c>
      <c r="AF33" s="57">
        <f t="shared" si="14"/>
        <v>728884.76602271153</v>
      </c>
      <c r="AG33" s="57">
        <f t="shared" si="14"/>
        <v>692733.7931760808</v>
      </c>
      <c r="AH33" s="57">
        <f t="shared" ref="AH33" si="15">AH23+AH31</f>
        <v>658193.33686269657</v>
      </c>
    </row>
  </sheetData>
  <mergeCells count="3">
    <mergeCell ref="C3:C10"/>
    <mergeCell ref="C14:C21"/>
    <mergeCell ref="C26:C2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BCA6-9B66-4A1A-910E-51D6628A2425}">
  <dimension ref="A1:AH182"/>
  <sheetViews>
    <sheetView topLeftCell="A60" zoomScaleNormal="100" workbookViewId="0">
      <selection activeCell="D79" sqref="D79"/>
    </sheetView>
  </sheetViews>
  <sheetFormatPr baseColWidth="10" defaultColWidth="8.83203125" defaultRowHeight="15" x14ac:dyDescent="0.2"/>
  <cols>
    <col min="1" max="1" width="6.5" customWidth="1"/>
    <col min="2" max="2" width="3" customWidth="1"/>
    <col min="3" max="3" width="6.5" customWidth="1"/>
    <col min="4" max="4" width="40" customWidth="1"/>
    <col min="5" max="5" width="8.83203125" customWidth="1"/>
    <col min="6" max="6" width="12.5" customWidth="1"/>
    <col min="7" max="7" width="18" bestFit="1" customWidth="1"/>
    <col min="8" max="8" width="13.33203125" hidden="1" customWidth="1"/>
    <col min="9" max="9" width="13.6640625" customWidth="1"/>
    <col min="10" max="10" width="15.33203125" bestFit="1" customWidth="1"/>
    <col min="11" max="12" width="13.83203125" customWidth="1"/>
    <col min="13" max="13" width="12.83203125" customWidth="1"/>
    <col min="14" max="14" width="13.83203125" customWidth="1"/>
    <col min="15" max="15" width="14.6640625" customWidth="1"/>
    <col min="16" max="33" width="12.83203125" customWidth="1"/>
    <col min="34" max="34" width="12.83203125" style="63" customWidth="1"/>
  </cols>
  <sheetData>
    <row r="1" spans="1:34" x14ac:dyDescent="0.2">
      <c r="A1" s="64" t="s">
        <v>395</v>
      </c>
      <c r="H1">
        <v>-1</v>
      </c>
      <c r="I1">
        <v>0</v>
      </c>
      <c r="J1">
        <f t="shared" ref="J1:AH1" si="0">I1+1</f>
        <v>1</v>
      </c>
      <c r="K1">
        <f t="shared" si="0"/>
        <v>2</v>
      </c>
      <c r="L1">
        <f t="shared" si="0"/>
        <v>3</v>
      </c>
      <c r="M1">
        <f t="shared" si="0"/>
        <v>4</v>
      </c>
      <c r="N1">
        <f t="shared" si="0"/>
        <v>5</v>
      </c>
      <c r="O1">
        <f t="shared" si="0"/>
        <v>6</v>
      </c>
      <c r="P1">
        <f t="shared" si="0"/>
        <v>7</v>
      </c>
      <c r="Q1">
        <f t="shared" si="0"/>
        <v>8</v>
      </c>
      <c r="R1">
        <f t="shared" si="0"/>
        <v>9</v>
      </c>
      <c r="S1">
        <f t="shared" si="0"/>
        <v>10</v>
      </c>
      <c r="T1">
        <f t="shared" si="0"/>
        <v>11</v>
      </c>
      <c r="U1">
        <f t="shared" si="0"/>
        <v>12</v>
      </c>
      <c r="V1">
        <f t="shared" si="0"/>
        <v>13</v>
      </c>
      <c r="W1">
        <f t="shared" si="0"/>
        <v>14</v>
      </c>
      <c r="X1">
        <f t="shared" si="0"/>
        <v>15</v>
      </c>
      <c r="Y1">
        <f t="shared" si="0"/>
        <v>16</v>
      </c>
      <c r="Z1">
        <f t="shared" si="0"/>
        <v>17</v>
      </c>
      <c r="AA1">
        <f t="shared" si="0"/>
        <v>18</v>
      </c>
      <c r="AB1">
        <f t="shared" si="0"/>
        <v>19</v>
      </c>
      <c r="AC1">
        <f t="shared" si="0"/>
        <v>20</v>
      </c>
      <c r="AD1">
        <f t="shared" si="0"/>
        <v>21</v>
      </c>
      <c r="AE1">
        <f t="shared" si="0"/>
        <v>22</v>
      </c>
      <c r="AF1">
        <f t="shared" si="0"/>
        <v>23</v>
      </c>
      <c r="AG1">
        <f t="shared" si="0"/>
        <v>24</v>
      </c>
      <c r="AH1" s="63">
        <f t="shared" si="0"/>
        <v>25</v>
      </c>
    </row>
    <row r="2" spans="1:34" s="64" customFormat="1" x14ac:dyDescent="0.2">
      <c r="E2" s="64" t="s">
        <v>6</v>
      </c>
      <c r="F2" s="64" t="s">
        <v>7</v>
      </c>
      <c r="H2" s="64">
        <v>2019</v>
      </c>
      <c r="I2" s="64">
        <v>2020</v>
      </c>
      <c r="J2" s="64">
        <f t="shared" ref="J2:AH2" si="1">I2+1</f>
        <v>2021</v>
      </c>
      <c r="K2" s="64">
        <f t="shared" si="1"/>
        <v>2022</v>
      </c>
      <c r="L2" s="64">
        <f t="shared" si="1"/>
        <v>2023</v>
      </c>
      <c r="M2" s="64">
        <f t="shared" si="1"/>
        <v>2024</v>
      </c>
      <c r="N2" s="64">
        <f t="shared" si="1"/>
        <v>2025</v>
      </c>
      <c r="O2" s="64">
        <f t="shared" si="1"/>
        <v>2026</v>
      </c>
      <c r="P2" s="64">
        <f t="shared" si="1"/>
        <v>2027</v>
      </c>
      <c r="Q2" s="64">
        <f t="shared" si="1"/>
        <v>2028</v>
      </c>
      <c r="R2" s="64">
        <f t="shared" si="1"/>
        <v>2029</v>
      </c>
      <c r="S2" s="64">
        <f t="shared" si="1"/>
        <v>2030</v>
      </c>
      <c r="T2" s="64">
        <f t="shared" si="1"/>
        <v>2031</v>
      </c>
      <c r="U2" s="64">
        <f t="shared" si="1"/>
        <v>2032</v>
      </c>
      <c r="V2" s="64">
        <f t="shared" si="1"/>
        <v>2033</v>
      </c>
      <c r="W2" s="64">
        <f t="shared" si="1"/>
        <v>2034</v>
      </c>
      <c r="X2" s="64">
        <f t="shared" si="1"/>
        <v>2035</v>
      </c>
      <c r="Y2" s="64">
        <f t="shared" si="1"/>
        <v>2036</v>
      </c>
      <c r="Z2" s="64">
        <f t="shared" si="1"/>
        <v>2037</v>
      </c>
      <c r="AA2" s="64">
        <f t="shared" si="1"/>
        <v>2038</v>
      </c>
      <c r="AB2" s="64">
        <f t="shared" si="1"/>
        <v>2039</v>
      </c>
      <c r="AC2" s="64">
        <f t="shared" si="1"/>
        <v>2040</v>
      </c>
      <c r="AD2" s="64">
        <f t="shared" si="1"/>
        <v>2041</v>
      </c>
      <c r="AE2" s="64">
        <f t="shared" si="1"/>
        <v>2042</v>
      </c>
      <c r="AF2" s="64">
        <f t="shared" si="1"/>
        <v>2043</v>
      </c>
      <c r="AG2" s="64">
        <f t="shared" si="1"/>
        <v>2044</v>
      </c>
      <c r="AH2" s="64">
        <f t="shared" si="1"/>
        <v>2045</v>
      </c>
    </row>
    <row r="3" spans="1:34" x14ac:dyDescent="0.2">
      <c r="A3" s="1"/>
      <c r="B3" s="1" t="s">
        <v>230</v>
      </c>
    </row>
    <row r="4" spans="1:34" x14ac:dyDescent="0.2">
      <c r="A4" s="1"/>
      <c r="B4" s="1"/>
      <c r="C4" s="1" t="s">
        <v>203</v>
      </c>
      <c r="F4" s="35" t="s">
        <v>188</v>
      </c>
    </row>
    <row r="5" spans="1:34" x14ac:dyDescent="0.2">
      <c r="D5" s="4" t="s">
        <v>209</v>
      </c>
      <c r="E5" s="4" t="s">
        <v>138</v>
      </c>
      <c r="F5" s="4" t="s">
        <v>202</v>
      </c>
      <c r="G5" s="35"/>
      <c r="H5" s="113" t="s">
        <v>406</v>
      </c>
      <c r="I5" s="11">
        <f>18247012.774/653000*1300000</f>
        <v>36326365.399999999</v>
      </c>
      <c r="J5" s="11">
        <f>18247012.774/653000*1300000</f>
        <v>36326365.399999999</v>
      </c>
      <c r="K5" s="12">
        <f t="shared" ref="K5:AH5" si="2">J5</f>
        <v>36326365.399999999</v>
      </c>
      <c r="L5" s="12">
        <f t="shared" si="2"/>
        <v>36326365.399999999</v>
      </c>
      <c r="M5" s="12">
        <f t="shared" si="2"/>
        <v>36326365.399999999</v>
      </c>
      <c r="N5" s="12">
        <f t="shared" si="2"/>
        <v>36326365.399999999</v>
      </c>
      <c r="O5" s="12">
        <f t="shared" si="2"/>
        <v>36326365.399999999</v>
      </c>
      <c r="P5" s="12">
        <f t="shared" si="2"/>
        <v>36326365.399999999</v>
      </c>
      <c r="Q5" s="12">
        <f t="shared" si="2"/>
        <v>36326365.399999999</v>
      </c>
      <c r="R5" s="12">
        <f t="shared" si="2"/>
        <v>36326365.399999999</v>
      </c>
      <c r="S5" s="12">
        <f t="shared" si="2"/>
        <v>36326365.399999999</v>
      </c>
      <c r="T5" s="12">
        <f t="shared" si="2"/>
        <v>36326365.399999999</v>
      </c>
      <c r="U5" s="12">
        <f t="shared" si="2"/>
        <v>36326365.399999999</v>
      </c>
      <c r="V5" s="12">
        <f t="shared" si="2"/>
        <v>36326365.399999999</v>
      </c>
      <c r="W5" s="12">
        <f t="shared" si="2"/>
        <v>36326365.399999999</v>
      </c>
      <c r="X5" s="12">
        <f t="shared" si="2"/>
        <v>36326365.399999999</v>
      </c>
      <c r="Y5" s="12">
        <f t="shared" si="2"/>
        <v>36326365.399999999</v>
      </c>
      <c r="Z5" s="12">
        <f t="shared" si="2"/>
        <v>36326365.399999999</v>
      </c>
      <c r="AA5" s="12">
        <f t="shared" si="2"/>
        <v>36326365.399999999</v>
      </c>
      <c r="AB5" s="12">
        <f t="shared" si="2"/>
        <v>36326365.399999999</v>
      </c>
      <c r="AC5" s="12">
        <f t="shared" si="2"/>
        <v>36326365.399999999</v>
      </c>
      <c r="AD5" s="12">
        <f t="shared" si="2"/>
        <v>36326365.399999999</v>
      </c>
      <c r="AE5" s="12">
        <f t="shared" si="2"/>
        <v>36326365.399999999</v>
      </c>
      <c r="AF5" s="12">
        <f t="shared" si="2"/>
        <v>36326365.399999999</v>
      </c>
      <c r="AG5" s="12">
        <f t="shared" si="2"/>
        <v>36326365.399999999</v>
      </c>
      <c r="AH5" s="12">
        <f t="shared" si="2"/>
        <v>36326365.399999999</v>
      </c>
    </row>
    <row r="6" spans="1:34" x14ac:dyDescent="0.2">
      <c r="D6" s="4" t="s">
        <v>210</v>
      </c>
      <c r="E6" s="4" t="s">
        <v>138</v>
      </c>
      <c r="F6" s="4" t="s">
        <v>202</v>
      </c>
      <c r="G6" s="4"/>
      <c r="H6" s="113"/>
      <c r="I6" s="11">
        <f>13305113.998/653000*1300000</f>
        <v>26487975.800000001</v>
      </c>
      <c r="J6" s="11">
        <f>13305113.998/653000*1300000</f>
        <v>26487975.800000001</v>
      </c>
      <c r="K6" s="12">
        <f t="shared" ref="K6:AH6" si="3">J6</f>
        <v>26487975.800000001</v>
      </c>
      <c r="L6" s="12">
        <f t="shared" si="3"/>
        <v>26487975.800000001</v>
      </c>
      <c r="M6" s="12">
        <f t="shared" si="3"/>
        <v>26487975.800000001</v>
      </c>
      <c r="N6" s="12">
        <f t="shared" si="3"/>
        <v>26487975.800000001</v>
      </c>
      <c r="O6" s="12">
        <f t="shared" si="3"/>
        <v>26487975.800000001</v>
      </c>
      <c r="P6" s="12">
        <f t="shared" si="3"/>
        <v>26487975.800000001</v>
      </c>
      <c r="Q6" s="12">
        <f t="shared" si="3"/>
        <v>26487975.800000001</v>
      </c>
      <c r="R6" s="12">
        <f t="shared" si="3"/>
        <v>26487975.800000001</v>
      </c>
      <c r="S6" s="12">
        <f t="shared" si="3"/>
        <v>26487975.800000001</v>
      </c>
      <c r="T6" s="12">
        <f t="shared" si="3"/>
        <v>26487975.800000001</v>
      </c>
      <c r="U6" s="12">
        <f t="shared" si="3"/>
        <v>26487975.800000001</v>
      </c>
      <c r="V6" s="12">
        <f t="shared" si="3"/>
        <v>26487975.800000001</v>
      </c>
      <c r="W6" s="12">
        <f t="shared" si="3"/>
        <v>26487975.800000001</v>
      </c>
      <c r="X6" s="12">
        <f t="shared" si="3"/>
        <v>26487975.800000001</v>
      </c>
      <c r="Y6" s="12">
        <f t="shared" si="3"/>
        <v>26487975.800000001</v>
      </c>
      <c r="Z6" s="12">
        <f t="shared" si="3"/>
        <v>26487975.800000001</v>
      </c>
      <c r="AA6" s="12">
        <f t="shared" si="3"/>
        <v>26487975.800000001</v>
      </c>
      <c r="AB6" s="12">
        <f t="shared" si="3"/>
        <v>26487975.800000001</v>
      </c>
      <c r="AC6" s="12">
        <f t="shared" si="3"/>
        <v>26487975.800000001</v>
      </c>
      <c r="AD6" s="12">
        <f t="shared" si="3"/>
        <v>26487975.800000001</v>
      </c>
      <c r="AE6" s="12">
        <f t="shared" si="3"/>
        <v>26487975.800000001</v>
      </c>
      <c r="AF6" s="12">
        <f t="shared" si="3"/>
        <v>26487975.800000001</v>
      </c>
      <c r="AG6" s="12">
        <f t="shared" si="3"/>
        <v>26487975.800000001</v>
      </c>
      <c r="AH6" s="12">
        <f t="shared" si="3"/>
        <v>26487975.800000001</v>
      </c>
    </row>
    <row r="7" spans="1:34" x14ac:dyDescent="0.2">
      <c r="D7" s="4" t="s">
        <v>184</v>
      </c>
      <c r="E7" s="4" t="s">
        <v>138</v>
      </c>
      <c r="F7" s="4" t="s">
        <v>202</v>
      </c>
      <c r="G7" s="4"/>
      <c r="H7" s="113"/>
      <c r="I7" s="11">
        <f>6462483.718/653000*1300000</f>
        <v>12865587.800000001</v>
      </c>
      <c r="J7" s="11">
        <f>6462483.718/653000*1300000</f>
        <v>12865587.800000001</v>
      </c>
      <c r="K7" s="12">
        <f t="shared" ref="K7:AH7" si="4">J7</f>
        <v>12865587.800000001</v>
      </c>
      <c r="L7" s="12">
        <f t="shared" si="4"/>
        <v>12865587.800000001</v>
      </c>
      <c r="M7" s="12">
        <f t="shared" si="4"/>
        <v>12865587.800000001</v>
      </c>
      <c r="N7" s="12">
        <f t="shared" si="4"/>
        <v>12865587.800000001</v>
      </c>
      <c r="O7" s="12">
        <f t="shared" si="4"/>
        <v>12865587.800000001</v>
      </c>
      <c r="P7" s="12">
        <f t="shared" si="4"/>
        <v>12865587.800000001</v>
      </c>
      <c r="Q7" s="12">
        <f t="shared" si="4"/>
        <v>12865587.800000001</v>
      </c>
      <c r="R7" s="12">
        <f t="shared" si="4"/>
        <v>12865587.800000001</v>
      </c>
      <c r="S7" s="12">
        <f t="shared" si="4"/>
        <v>12865587.800000001</v>
      </c>
      <c r="T7" s="12">
        <f t="shared" si="4"/>
        <v>12865587.800000001</v>
      </c>
      <c r="U7" s="12">
        <f t="shared" si="4"/>
        <v>12865587.800000001</v>
      </c>
      <c r="V7" s="12">
        <f t="shared" si="4"/>
        <v>12865587.800000001</v>
      </c>
      <c r="W7" s="12">
        <f t="shared" si="4"/>
        <v>12865587.800000001</v>
      </c>
      <c r="X7" s="12">
        <f t="shared" si="4"/>
        <v>12865587.800000001</v>
      </c>
      <c r="Y7" s="12">
        <f t="shared" si="4"/>
        <v>12865587.800000001</v>
      </c>
      <c r="Z7" s="12">
        <f t="shared" si="4"/>
        <v>12865587.800000001</v>
      </c>
      <c r="AA7" s="12">
        <f t="shared" si="4"/>
        <v>12865587.800000001</v>
      </c>
      <c r="AB7" s="12">
        <f t="shared" si="4"/>
        <v>12865587.800000001</v>
      </c>
      <c r="AC7" s="12">
        <f t="shared" si="4"/>
        <v>12865587.800000001</v>
      </c>
      <c r="AD7" s="12">
        <f t="shared" si="4"/>
        <v>12865587.800000001</v>
      </c>
      <c r="AE7" s="12">
        <f t="shared" si="4"/>
        <v>12865587.800000001</v>
      </c>
      <c r="AF7" s="12">
        <f t="shared" si="4"/>
        <v>12865587.800000001</v>
      </c>
      <c r="AG7" s="12">
        <f t="shared" si="4"/>
        <v>12865587.800000001</v>
      </c>
      <c r="AH7" s="12">
        <f t="shared" si="4"/>
        <v>12865587.800000001</v>
      </c>
    </row>
    <row r="8" spans="1:34" x14ac:dyDescent="0.2">
      <c r="D8" s="4" t="s">
        <v>211</v>
      </c>
      <c r="E8" s="4" t="s">
        <v>138</v>
      </c>
      <c r="F8" s="4" t="s">
        <v>202</v>
      </c>
      <c r="G8" s="4"/>
      <c r="H8" s="113"/>
      <c r="I8" s="11">
        <f>10666156.852/653000*1300000</f>
        <v>21234309.199999999</v>
      </c>
      <c r="J8" s="11">
        <f>10666156.852/653000*1300000</f>
        <v>21234309.199999999</v>
      </c>
      <c r="K8" s="12">
        <f t="shared" ref="K8:AH8" si="5">J8</f>
        <v>21234309.199999999</v>
      </c>
      <c r="L8" s="12">
        <f t="shared" si="5"/>
        <v>21234309.199999999</v>
      </c>
      <c r="M8" s="12">
        <f t="shared" si="5"/>
        <v>21234309.199999999</v>
      </c>
      <c r="N8" s="12">
        <f t="shared" si="5"/>
        <v>21234309.199999999</v>
      </c>
      <c r="O8" s="12">
        <f t="shared" si="5"/>
        <v>21234309.199999999</v>
      </c>
      <c r="P8" s="12">
        <f t="shared" si="5"/>
        <v>21234309.199999999</v>
      </c>
      <c r="Q8" s="12">
        <f t="shared" si="5"/>
        <v>21234309.199999999</v>
      </c>
      <c r="R8" s="12">
        <f t="shared" si="5"/>
        <v>21234309.199999999</v>
      </c>
      <c r="S8" s="12">
        <f t="shared" si="5"/>
        <v>21234309.199999999</v>
      </c>
      <c r="T8" s="12">
        <f t="shared" si="5"/>
        <v>21234309.199999999</v>
      </c>
      <c r="U8" s="12">
        <f t="shared" si="5"/>
        <v>21234309.199999999</v>
      </c>
      <c r="V8" s="12">
        <f t="shared" si="5"/>
        <v>21234309.199999999</v>
      </c>
      <c r="W8" s="12">
        <f t="shared" si="5"/>
        <v>21234309.199999999</v>
      </c>
      <c r="X8" s="12">
        <f t="shared" si="5"/>
        <v>21234309.199999999</v>
      </c>
      <c r="Y8" s="12">
        <f t="shared" si="5"/>
        <v>21234309.199999999</v>
      </c>
      <c r="Z8" s="12">
        <f t="shared" si="5"/>
        <v>21234309.199999999</v>
      </c>
      <c r="AA8" s="12">
        <f t="shared" si="5"/>
        <v>21234309.199999999</v>
      </c>
      <c r="AB8" s="12">
        <f t="shared" si="5"/>
        <v>21234309.199999999</v>
      </c>
      <c r="AC8" s="12">
        <f t="shared" si="5"/>
        <v>21234309.199999999</v>
      </c>
      <c r="AD8" s="12">
        <f t="shared" si="5"/>
        <v>21234309.199999999</v>
      </c>
      <c r="AE8" s="12">
        <f t="shared" si="5"/>
        <v>21234309.199999999</v>
      </c>
      <c r="AF8" s="12">
        <f t="shared" si="5"/>
        <v>21234309.199999999</v>
      </c>
      <c r="AG8" s="12">
        <f t="shared" si="5"/>
        <v>21234309.199999999</v>
      </c>
      <c r="AH8" s="12">
        <f t="shared" si="5"/>
        <v>21234309.199999999</v>
      </c>
    </row>
    <row r="9" spans="1:34" x14ac:dyDescent="0.2">
      <c r="D9" s="4" t="s">
        <v>212</v>
      </c>
      <c r="E9" s="4" t="s">
        <v>138</v>
      </c>
      <c r="F9" s="4" t="s">
        <v>202</v>
      </c>
      <c r="G9" s="4"/>
      <c r="H9" s="113"/>
      <c r="I9" s="11">
        <f>7777405.657/653000*1300000</f>
        <v>15483349.699999999</v>
      </c>
      <c r="J9" s="11">
        <f>7777405.657/653000*1300000</f>
        <v>15483349.699999999</v>
      </c>
      <c r="K9" s="12">
        <f t="shared" ref="K9:AH9" si="6">J9</f>
        <v>15483349.699999999</v>
      </c>
      <c r="L9" s="12">
        <f t="shared" si="6"/>
        <v>15483349.699999999</v>
      </c>
      <c r="M9" s="12">
        <f t="shared" si="6"/>
        <v>15483349.699999999</v>
      </c>
      <c r="N9" s="12">
        <f t="shared" si="6"/>
        <v>15483349.699999999</v>
      </c>
      <c r="O9" s="12">
        <f t="shared" si="6"/>
        <v>15483349.699999999</v>
      </c>
      <c r="P9" s="12">
        <f t="shared" si="6"/>
        <v>15483349.699999999</v>
      </c>
      <c r="Q9" s="12">
        <f t="shared" si="6"/>
        <v>15483349.699999999</v>
      </c>
      <c r="R9" s="12">
        <f t="shared" si="6"/>
        <v>15483349.699999999</v>
      </c>
      <c r="S9" s="12">
        <f t="shared" si="6"/>
        <v>15483349.699999999</v>
      </c>
      <c r="T9" s="12">
        <f t="shared" si="6"/>
        <v>15483349.699999999</v>
      </c>
      <c r="U9" s="12">
        <f t="shared" si="6"/>
        <v>15483349.699999999</v>
      </c>
      <c r="V9" s="12">
        <f t="shared" si="6"/>
        <v>15483349.699999999</v>
      </c>
      <c r="W9" s="12">
        <f t="shared" si="6"/>
        <v>15483349.699999999</v>
      </c>
      <c r="X9" s="12">
        <f t="shared" si="6"/>
        <v>15483349.699999999</v>
      </c>
      <c r="Y9" s="12">
        <f t="shared" si="6"/>
        <v>15483349.699999999</v>
      </c>
      <c r="Z9" s="12">
        <f t="shared" si="6"/>
        <v>15483349.699999999</v>
      </c>
      <c r="AA9" s="12">
        <f t="shared" si="6"/>
        <v>15483349.699999999</v>
      </c>
      <c r="AB9" s="12">
        <f t="shared" si="6"/>
        <v>15483349.699999999</v>
      </c>
      <c r="AC9" s="12">
        <f t="shared" si="6"/>
        <v>15483349.699999999</v>
      </c>
      <c r="AD9" s="12">
        <f t="shared" si="6"/>
        <v>15483349.699999999</v>
      </c>
      <c r="AE9" s="12">
        <f t="shared" si="6"/>
        <v>15483349.699999999</v>
      </c>
      <c r="AF9" s="12">
        <f t="shared" si="6"/>
        <v>15483349.699999999</v>
      </c>
      <c r="AG9" s="12">
        <f t="shared" si="6"/>
        <v>15483349.699999999</v>
      </c>
      <c r="AH9" s="12">
        <f t="shared" si="6"/>
        <v>15483349.699999999</v>
      </c>
    </row>
    <row r="10" spans="1:34" x14ac:dyDescent="0.2">
      <c r="D10" s="4" t="s">
        <v>187</v>
      </c>
      <c r="E10" s="4" t="s">
        <v>138</v>
      </c>
      <c r="F10" s="4" t="s">
        <v>202</v>
      </c>
      <c r="G10" s="4"/>
      <c r="H10" s="113"/>
      <c r="I10" s="11">
        <f>3777597.164/653000*1300000</f>
        <v>7520484.4000000004</v>
      </c>
      <c r="J10" s="11">
        <f>3777597.164/653000*1300000</f>
        <v>7520484.4000000004</v>
      </c>
      <c r="K10" s="12">
        <f t="shared" ref="K10:AH10" si="7">J10</f>
        <v>7520484.4000000004</v>
      </c>
      <c r="L10" s="12">
        <f t="shared" si="7"/>
        <v>7520484.4000000004</v>
      </c>
      <c r="M10" s="12">
        <f t="shared" si="7"/>
        <v>7520484.4000000004</v>
      </c>
      <c r="N10" s="12">
        <f t="shared" si="7"/>
        <v>7520484.4000000004</v>
      </c>
      <c r="O10" s="12">
        <f t="shared" si="7"/>
        <v>7520484.4000000004</v>
      </c>
      <c r="P10" s="12">
        <f t="shared" si="7"/>
        <v>7520484.4000000004</v>
      </c>
      <c r="Q10" s="12">
        <f t="shared" si="7"/>
        <v>7520484.4000000004</v>
      </c>
      <c r="R10" s="12">
        <f t="shared" si="7"/>
        <v>7520484.4000000004</v>
      </c>
      <c r="S10" s="12">
        <f t="shared" si="7"/>
        <v>7520484.4000000004</v>
      </c>
      <c r="T10" s="12">
        <f t="shared" si="7"/>
        <v>7520484.4000000004</v>
      </c>
      <c r="U10" s="12">
        <f t="shared" si="7"/>
        <v>7520484.4000000004</v>
      </c>
      <c r="V10" s="12">
        <f t="shared" si="7"/>
        <v>7520484.4000000004</v>
      </c>
      <c r="W10" s="12">
        <f t="shared" si="7"/>
        <v>7520484.4000000004</v>
      </c>
      <c r="X10" s="12">
        <f t="shared" si="7"/>
        <v>7520484.4000000004</v>
      </c>
      <c r="Y10" s="12">
        <f t="shared" si="7"/>
        <v>7520484.4000000004</v>
      </c>
      <c r="Z10" s="12">
        <f t="shared" si="7"/>
        <v>7520484.4000000004</v>
      </c>
      <c r="AA10" s="12">
        <f t="shared" si="7"/>
        <v>7520484.4000000004</v>
      </c>
      <c r="AB10" s="12">
        <f t="shared" si="7"/>
        <v>7520484.4000000004</v>
      </c>
      <c r="AC10" s="12">
        <f t="shared" si="7"/>
        <v>7520484.4000000004</v>
      </c>
      <c r="AD10" s="12">
        <f t="shared" si="7"/>
        <v>7520484.4000000004</v>
      </c>
      <c r="AE10" s="12">
        <f t="shared" si="7"/>
        <v>7520484.4000000004</v>
      </c>
      <c r="AF10" s="12">
        <f t="shared" si="7"/>
        <v>7520484.4000000004</v>
      </c>
      <c r="AG10" s="12">
        <f t="shared" si="7"/>
        <v>7520484.4000000004</v>
      </c>
      <c r="AH10" s="12">
        <f t="shared" si="7"/>
        <v>7520484.4000000004</v>
      </c>
    </row>
    <row r="12" spans="1:34" x14ac:dyDescent="0.2">
      <c r="C12" s="1" t="s">
        <v>204</v>
      </c>
    </row>
    <row r="13" spans="1:34" x14ac:dyDescent="0.2">
      <c r="D13" s="4" t="s">
        <v>182</v>
      </c>
      <c r="E13" s="4" t="s">
        <v>138</v>
      </c>
      <c r="I13" s="12">
        <f>I5*'1_MODEL_assumptions'!I$9/'1_MODEL_assumptions'!$G$5</f>
        <v>578539.284032</v>
      </c>
      <c r="J13" s="12">
        <f>J5*'1_MODEL_assumptions'!J$9/'1_MODEL_assumptions'!$G$5</f>
        <v>849729.57342199993</v>
      </c>
      <c r="K13" s="12">
        <f>K5*'1_MODEL_assumptions'!K$9/'1_MODEL_assumptions'!$G$5</f>
        <v>1120919.8628119999</v>
      </c>
      <c r="L13" s="12">
        <f>L5*'1_MODEL_assumptions'!L$9/'1_MODEL_assumptions'!$G$5</f>
        <v>1392110.1522019999</v>
      </c>
      <c r="M13" s="12">
        <f>M5*'1_MODEL_assumptions'!M$9/'1_MODEL_assumptions'!$G$5</f>
        <v>1663300.441592</v>
      </c>
      <c r="N13" s="12">
        <f>N5*'1_MODEL_assumptions'!N$9/'1_MODEL_assumptions'!$G$5</f>
        <v>1547592.5847856</v>
      </c>
      <c r="O13" s="12">
        <f>O5*'1_MODEL_assumptions'!O$9/'1_MODEL_assumptions'!$G$5</f>
        <v>1764544.8162975998</v>
      </c>
      <c r="P13" s="12">
        <f>P5*'1_MODEL_assumptions'!P$9/'1_MODEL_assumptions'!$G$5</f>
        <v>2476871.3097620001</v>
      </c>
      <c r="Q13" s="12">
        <f>Q5*'1_MODEL_assumptions'!Q$9/'1_MODEL_assumptions'!$G$5</f>
        <v>2748061.5991520006</v>
      </c>
      <c r="R13" s="12">
        <f>R5*'1_MODEL_assumptions'!R$9/'1_MODEL_assumptions'!$G$5</f>
        <v>3019251.8885420007</v>
      </c>
      <c r="S13" s="12">
        <f>S5*'1_MODEL_assumptions'!S$9/'1_MODEL_assumptions'!$G$5</f>
        <v>3290442.1779320007</v>
      </c>
      <c r="T13" s="12">
        <f>T5*'1_MODEL_assumptions'!T$9/'1_MODEL_assumptions'!$G$5</f>
        <v>3561632.4673220012</v>
      </c>
      <c r="U13" s="12">
        <f>U5*'1_MODEL_assumptions'!U$9/'1_MODEL_assumptions'!$G$5</f>
        <v>3832822.7567120013</v>
      </c>
      <c r="V13" s="12">
        <f>V5*'1_MODEL_assumptions'!V$9/'1_MODEL_assumptions'!$G$5</f>
        <v>4104013.0461020013</v>
      </c>
      <c r="W13" s="12">
        <f>W5*'1_MODEL_assumptions'!W$9/'1_MODEL_assumptions'!$G$5</f>
        <v>4375203.3354920009</v>
      </c>
      <c r="X13" s="12">
        <f>X5*'1_MODEL_assumptions'!X$9/'1_MODEL_assumptions'!$G$5</f>
        <v>4646393.6248820024</v>
      </c>
      <c r="Y13" s="12">
        <f>Y5*'1_MODEL_assumptions'!Y$9/'1_MODEL_assumptions'!$G$5</f>
        <v>4917583.9142720019</v>
      </c>
      <c r="Z13" s="12">
        <f>Z5*'1_MODEL_assumptions'!Z$9/'1_MODEL_assumptions'!$G$5</f>
        <v>5188774.2036620015</v>
      </c>
      <c r="AA13" s="12">
        <f>AA5*'1_MODEL_assumptions'!AA$9/'1_MODEL_assumptions'!$G$5</f>
        <v>5459964.493052002</v>
      </c>
      <c r="AB13" s="12">
        <f>AB5*'1_MODEL_assumptions'!AB$9/'1_MODEL_assumptions'!$G$5</f>
        <v>5731154.7824420026</v>
      </c>
      <c r="AC13" s="12">
        <f>AC5*'1_MODEL_assumptions'!AC$9/'1_MODEL_assumptions'!$G$5</f>
        <v>6002345.0718320031</v>
      </c>
      <c r="AD13" s="12">
        <f>AD5*'1_MODEL_assumptions'!AD$9/'1_MODEL_assumptions'!$G$5</f>
        <v>6273535.3612220027</v>
      </c>
      <c r="AE13" s="12">
        <f>AE5*'1_MODEL_assumptions'!AE$9/'1_MODEL_assumptions'!$G$5</f>
        <v>6544725.6506120032</v>
      </c>
      <c r="AF13" s="12">
        <f>AF5*'1_MODEL_assumptions'!AF$9/'1_MODEL_assumptions'!$G$5</f>
        <v>6815915.9400020046</v>
      </c>
      <c r="AG13" s="12">
        <f>AG5*'1_MODEL_assumptions'!AG$9/'1_MODEL_assumptions'!$G$5</f>
        <v>7087106.2293920042</v>
      </c>
      <c r="AH13" s="12">
        <f>AH5*'1_MODEL_assumptions'!AH$9/'1_MODEL_assumptions'!$G$5</f>
        <v>7358296.5187820038</v>
      </c>
    </row>
    <row r="14" spans="1:34" x14ac:dyDescent="0.2">
      <c r="D14" s="4" t="s">
        <v>183</v>
      </c>
      <c r="E14" s="4" t="s">
        <v>138</v>
      </c>
      <c r="I14" s="12">
        <f>I6*'1_MODEL_assumptions'!I$9/'1_MODEL_assumptions'!$G$5</f>
        <v>421851.57766399998</v>
      </c>
      <c r="J14" s="12">
        <f>J6*'1_MODEL_assumptions'!J$9/'1_MODEL_assumptions'!$G$5</f>
        <v>619594.504694</v>
      </c>
      <c r="K14" s="12">
        <f>K6*'1_MODEL_assumptions'!K$9/'1_MODEL_assumptions'!$G$5</f>
        <v>817337.43172400002</v>
      </c>
      <c r="L14" s="12">
        <f>L6*'1_MODEL_assumptions'!L$9/'1_MODEL_assumptions'!$G$5</f>
        <v>1015080.3587539999</v>
      </c>
      <c r="M14" s="12">
        <f>M6*'1_MODEL_assumptions'!M$9/'1_MODEL_assumptions'!$G$5</f>
        <v>1212823.2857840001</v>
      </c>
      <c r="N14" s="12">
        <f>N6*'1_MODEL_assumptions'!N$9/'1_MODEL_assumptions'!$G$5</f>
        <v>1128452.9702512</v>
      </c>
      <c r="O14" s="12">
        <f>O6*'1_MODEL_assumptions'!O$9/'1_MODEL_assumptions'!$G$5</f>
        <v>1286647.3118752001</v>
      </c>
      <c r="P14" s="12">
        <f>P6*'1_MODEL_assumptions'!P$9/'1_MODEL_assumptions'!$G$5</f>
        <v>1806052.0668740002</v>
      </c>
      <c r="Q14" s="12">
        <f>Q6*'1_MODEL_assumptions'!Q$9/'1_MODEL_assumptions'!$G$5</f>
        <v>2003794.9939040006</v>
      </c>
      <c r="R14" s="12">
        <f>R6*'1_MODEL_assumptions'!R$9/'1_MODEL_assumptions'!$G$5</f>
        <v>2201537.9209340005</v>
      </c>
      <c r="S14" s="12">
        <f>S6*'1_MODEL_assumptions'!S$9/'1_MODEL_assumptions'!$G$5</f>
        <v>2399280.8479640004</v>
      </c>
      <c r="T14" s="12">
        <f>T6*'1_MODEL_assumptions'!T$9/'1_MODEL_assumptions'!$G$5</f>
        <v>2597023.7749940008</v>
      </c>
      <c r="U14" s="12">
        <f>U6*'1_MODEL_assumptions'!U$9/'1_MODEL_assumptions'!$G$5</f>
        <v>2794766.7020240012</v>
      </c>
      <c r="V14" s="12">
        <f>V6*'1_MODEL_assumptions'!V$9/'1_MODEL_assumptions'!$G$5</f>
        <v>2992509.6290540011</v>
      </c>
      <c r="W14" s="12">
        <f>W6*'1_MODEL_assumptions'!W$9/'1_MODEL_assumptions'!$G$5</f>
        <v>3190252.5560840014</v>
      </c>
      <c r="X14" s="12">
        <f>X6*'1_MODEL_assumptions'!X$9/'1_MODEL_assumptions'!$G$5</f>
        <v>3387995.4831140018</v>
      </c>
      <c r="Y14" s="12">
        <f>Y6*'1_MODEL_assumptions'!Y$9/'1_MODEL_assumptions'!$G$5</f>
        <v>3585738.4101440017</v>
      </c>
      <c r="Z14" s="12">
        <f>Z6*'1_MODEL_assumptions'!Z$9/'1_MODEL_assumptions'!$G$5</f>
        <v>3783481.3371740016</v>
      </c>
      <c r="AA14" s="12">
        <f>AA6*'1_MODEL_assumptions'!AA$9/'1_MODEL_assumptions'!$G$5</f>
        <v>3981224.2642040015</v>
      </c>
      <c r="AB14" s="12">
        <f>AB6*'1_MODEL_assumptions'!AB$9/'1_MODEL_assumptions'!$G$5</f>
        <v>4178967.1912340024</v>
      </c>
      <c r="AC14" s="12">
        <f>AC6*'1_MODEL_assumptions'!AC$9/'1_MODEL_assumptions'!$G$5</f>
        <v>4376710.1182640027</v>
      </c>
      <c r="AD14" s="12">
        <f>AD6*'1_MODEL_assumptions'!AD$9/'1_MODEL_assumptions'!$G$5</f>
        <v>4574453.0452940026</v>
      </c>
      <c r="AE14" s="12">
        <f>AE6*'1_MODEL_assumptions'!AE$9/'1_MODEL_assumptions'!$G$5</f>
        <v>4772195.9723240035</v>
      </c>
      <c r="AF14" s="12">
        <f>AF6*'1_MODEL_assumptions'!AF$9/'1_MODEL_assumptions'!$G$5</f>
        <v>4969938.8993540034</v>
      </c>
      <c r="AG14" s="12">
        <f>AG6*'1_MODEL_assumptions'!AG$9/'1_MODEL_assumptions'!$G$5</f>
        <v>5167681.8263840033</v>
      </c>
      <c r="AH14" s="12">
        <f>AH6*'1_MODEL_assumptions'!AH$9/'1_MODEL_assumptions'!$G$5</f>
        <v>5365424.7534140041</v>
      </c>
    </row>
    <row r="15" spans="1:34" x14ac:dyDescent="0.2">
      <c r="D15" s="4" t="s">
        <v>184</v>
      </c>
      <c r="E15" s="4" t="s">
        <v>138</v>
      </c>
      <c r="I15" s="12">
        <f>I7*'1_MODEL_assumptions'!I$9/'1_MODEL_assumptions'!$G$5</f>
        <v>204899.33062400002</v>
      </c>
      <c r="J15" s="12">
        <f>J7*'1_MODEL_assumptions'!J$9/'1_MODEL_assumptions'!$G$5</f>
        <v>300945.89185399999</v>
      </c>
      <c r="K15" s="12">
        <f>K7*'1_MODEL_assumptions'!K$9/'1_MODEL_assumptions'!$G$5</f>
        <v>396992.45308400004</v>
      </c>
      <c r="L15" s="12">
        <f>L7*'1_MODEL_assumptions'!L$9/'1_MODEL_assumptions'!$G$5</f>
        <v>493039.01431400003</v>
      </c>
      <c r="M15" s="12">
        <f>M7*'1_MODEL_assumptions'!M$9/'1_MODEL_assumptions'!$G$5</f>
        <v>589085.57554400002</v>
      </c>
      <c r="N15" s="12">
        <f>N7*'1_MODEL_assumptions'!N$9/'1_MODEL_assumptions'!$G$5</f>
        <v>548105.70941920008</v>
      </c>
      <c r="O15" s="12">
        <f>O7*'1_MODEL_assumptions'!O$9/'1_MODEL_assumptions'!$G$5</f>
        <v>624942.95840320014</v>
      </c>
      <c r="P15" s="12">
        <f>P7*'1_MODEL_assumptions'!P$9/'1_MODEL_assumptions'!$G$5</f>
        <v>877225.259234</v>
      </c>
      <c r="Q15" s="12">
        <f>Q7*'1_MODEL_assumptions'!Q$9/'1_MODEL_assumptions'!$G$5</f>
        <v>973271.82046400011</v>
      </c>
      <c r="R15" s="12">
        <f>R7*'1_MODEL_assumptions'!R$9/'1_MODEL_assumptions'!$G$5</f>
        <v>1069318.3816940004</v>
      </c>
      <c r="S15" s="12">
        <f>S7*'1_MODEL_assumptions'!S$9/'1_MODEL_assumptions'!$G$5</f>
        <v>1165364.9429240003</v>
      </c>
      <c r="T15" s="12">
        <f>T7*'1_MODEL_assumptions'!T$9/'1_MODEL_assumptions'!$G$5</f>
        <v>1261411.5041540004</v>
      </c>
      <c r="U15" s="12">
        <f>U7*'1_MODEL_assumptions'!U$9/'1_MODEL_assumptions'!$G$5</f>
        <v>1357458.0653840008</v>
      </c>
      <c r="V15" s="12">
        <f>V7*'1_MODEL_assumptions'!V$9/'1_MODEL_assumptions'!$G$5</f>
        <v>1453504.6266140006</v>
      </c>
      <c r="W15" s="12">
        <f>W7*'1_MODEL_assumptions'!W$9/'1_MODEL_assumptions'!$G$5</f>
        <v>1549551.1878440008</v>
      </c>
      <c r="X15" s="12">
        <f>X7*'1_MODEL_assumptions'!X$9/'1_MODEL_assumptions'!$G$5</f>
        <v>1645597.7490740009</v>
      </c>
      <c r="Y15" s="12">
        <f>Y7*'1_MODEL_assumptions'!Y$9/'1_MODEL_assumptions'!$G$5</f>
        <v>1741644.310304001</v>
      </c>
      <c r="Z15" s="12">
        <f>Z7*'1_MODEL_assumptions'!Z$9/'1_MODEL_assumptions'!$G$5</f>
        <v>1837690.8715340008</v>
      </c>
      <c r="AA15" s="12">
        <f>AA7*'1_MODEL_assumptions'!AA$9/'1_MODEL_assumptions'!$G$5</f>
        <v>1933737.432764001</v>
      </c>
      <c r="AB15" s="12">
        <f>AB7*'1_MODEL_assumptions'!AB$9/'1_MODEL_assumptions'!$G$5</f>
        <v>2029783.9939940013</v>
      </c>
      <c r="AC15" s="12">
        <f>AC7*'1_MODEL_assumptions'!AC$9/'1_MODEL_assumptions'!$G$5</f>
        <v>2125830.5552240014</v>
      </c>
      <c r="AD15" s="12">
        <f>AD7*'1_MODEL_assumptions'!AD$9/'1_MODEL_assumptions'!$G$5</f>
        <v>2221877.1164540011</v>
      </c>
      <c r="AE15" s="12">
        <f>AE7*'1_MODEL_assumptions'!AE$9/'1_MODEL_assumptions'!$G$5</f>
        <v>2317923.6776840016</v>
      </c>
      <c r="AF15" s="12">
        <f>AF7*'1_MODEL_assumptions'!AF$9/'1_MODEL_assumptions'!$G$5</f>
        <v>2413970.2389140017</v>
      </c>
      <c r="AG15" s="12">
        <f>AG7*'1_MODEL_assumptions'!AG$9/'1_MODEL_assumptions'!$G$5</f>
        <v>2510016.8001440018</v>
      </c>
      <c r="AH15" s="12">
        <f>AH7*'1_MODEL_assumptions'!AH$9/'1_MODEL_assumptions'!$G$5</f>
        <v>2606063.361374002</v>
      </c>
    </row>
    <row r="16" spans="1:34" x14ac:dyDescent="0.2">
      <c r="D16" s="4" t="s">
        <v>185</v>
      </c>
      <c r="E16" s="4" t="s">
        <v>138</v>
      </c>
      <c r="I16" s="12">
        <f>I8*'1_MODEL_assumptions'!I$9/'1_MODEL_assumptions'!$G$5</f>
        <v>338180.87513599999</v>
      </c>
      <c r="J16" s="12">
        <f>J8*'1_MODEL_assumptions'!J$9/'1_MODEL_assumptions'!$G$5</f>
        <v>496703.16035599995</v>
      </c>
      <c r="K16" s="12">
        <f>K8*'1_MODEL_assumptions'!K$9/'1_MODEL_assumptions'!$G$5</f>
        <v>655225.44557599991</v>
      </c>
      <c r="L16" s="12">
        <f>L8*'1_MODEL_assumptions'!L$9/'1_MODEL_assumptions'!$G$5</f>
        <v>813747.73079599999</v>
      </c>
      <c r="M16" s="12">
        <f>M8*'1_MODEL_assumptions'!M$9/'1_MODEL_assumptions'!$G$5</f>
        <v>972270.01601600007</v>
      </c>
      <c r="N16" s="12">
        <f>N8*'1_MODEL_assumptions'!N$9/'1_MODEL_assumptions'!$G$5</f>
        <v>904633.84098879993</v>
      </c>
      <c r="O16" s="12">
        <f>O8*'1_MODEL_assumptions'!O$9/'1_MODEL_assumptions'!$G$5</f>
        <v>1031451.6691648</v>
      </c>
      <c r="P16" s="12">
        <f>P8*'1_MODEL_assumptions'!P$9/'1_MODEL_assumptions'!$G$5</f>
        <v>1447836.8716760001</v>
      </c>
      <c r="Q16" s="12">
        <f>Q8*'1_MODEL_assumptions'!Q$9/'1_MODEL_assumptions'!$G$5</f>
        <v>1606359.1568960003</v>
      </c>
      <c r="R16" s="12">
        <f>R8*'1_MODEL_assumptions'!R$9/'1_MODEL_assumptions'!$G$5</f>
        <v>1764881.4421160007</v>
      </c>
      <c r="S16" s="12">
        <f>S8*'1_MODEL_assumptions'!S$9/'1_MODEL_assumptions'!$G$5</f>
        <v>1923403.7273360002</v>
      </c>
      <c r="T16" s="12">
        <f>T8*'1_MODEL_assumptions'!T$9/'1_MODEL_assumptions'!$G$5</f>
        <v>2081926.0125560006</v>
      </c>
      <c r="U16" s="12">
        <f>U8*'1_MODEL_assumptions'!U$9/'1_MODEL_assumptions'!$G$5</f>
        <v>2240448.297776001</v>
      </c>
      <c r="V16" s="12">
        <f>V8*'1_MODEL_assumptions'!V$9/'1_MODEL_assumptions'!$G$5</f>
        <v>2398970.582996001</v>
      </c>
      <c r="W16" s="12">
        <f>W8*'1_MODEL_assumptions'!W$9/'1_MODEL_assumptions'!$G$5</f>
        <v>2557492.868216001</v>
      </c>
      <c r="X16" s="12">
        <f>X8*'1_MODEL_assumptions'!X$9/'1_MODEL_assumptions'!$G$5</f>
        <v>2716015.1534360014</v>
      </c>
      <c r="Y16" s="12">
        <f>Y8*'1_MODEL_assumptions'!Y$9/'1_MODEL_assumptions'!$G$5</f>
        <v>2874537.4386560014</v>
      </c>
      <c r="Z16" s="12">
        <f>Z8*'1_MODEL_assumptions'!Z$9/'1_MODEL_assumptions'!$G$5</f>
        <v>3033059.7238760013</v>
      </c>
      <c r="AA16" s="12">
        <f>AA8*'1_MODEL_assumptions'!AA$9/'1_MODEL_assumptions'!$G$5</f>
        <v>3191582.0090960013</v>
      </c>
      <c r="AB16" s="12">
        <f>AB8*'1_MODEL_assumptions'!AB$9/'1_MODEL_assumptions'!$G$5</f>
        <v>3350104.2943160017</v>
      </c>
      <c r="AC16" s="12">
        <f>AC8*'1_MODEL_assumptions'!AC$9/'1_MODEL_assumptions'!$G$5</f>
        <v>3508626.5795360021</v>
      </c>
      <c r="AD16" s="12">
        <f>AD8*'1_MODEL_assumptions'!AD$9/'1_MODEL_assumptions'!$G$5</f>
        <v>3667148.8647560021</v>
      </c>
      <c r="AE16" s="12">
        <f>AE8*'1_MODEL_assumptions'!AE$9/'1_MODEL_assumptions'!$G$5</f>
        <v>3825671.1499760021</v>
      </c>
      <c r="AF16" s="12">
        <f>AF8*'1_MODEL_assumptions'!AF$9/'1_MODEL_assumptions'!$G$5</f>
        <v>3984193.435196002</v>
      </c>
      <c r="AG16" s="12">
        <f>AG8*'1_MODEL_assumptions'!AG$9/'1_MODEL_assumptions'!$G$5</f>
        <v>4142715.720416002</v>
      </c>
      <c r="AH16" s="12">
        <f>AH8*'1_MODEL_assumptions'!AH$9/'1_MODEL_assumptions'!$G$5</f>
        <v>4301238.0056360029</v>
      </c>
    </row>
    <row r="17" spans="2:34" x14ac:dyDescent="0.2">
      <c r="D17" s="4" t="s">
        <v>186</v>
      </c>
      <c r="E17" s="4" t="s">
        <v>138</v>
      </c>
      <c r="I17" s="12">
        <f>I9*'1_MODEL_assumptions'!I$9/'1_MODEL_assumptions'!$G$5</f>
        <v>246590.20937599998</v>
      </c>
      <c r="J17" s="12">
        <f>J9*'1_MODEL_assumptions'!J$9/'1_MODEL_assumptions'!$G$5</f>
        <v>362179.37002099998</v>
      </c>
      <c r="K17" s="12">
        <f>K9*'1_MODEL_assumptions'!K$9/'1_MODEL_assumptions'!$G$5</f>
        <v>477768.53066599992</v>
      </c>
      <c r="L17" s="12">
        <f>L9*'1_MODEL_assumptions'!L$9/'1_MODEL_assumptions'!$G$5</f>
        <v>593357.69131099992</v>
      </c>
      <c r="M17" s="12">
        <f>M9*'1_MODEL_assumptions'!M$9/'1_MODEL_assumptions'!$G$5</f>
        <v>708946.85195599997</v>
      </c>
      <c r="N17" s="12">
        <f>N9*'1_MODEL_assumptions'!N$9/'1_MODEL_assumptions'!$G$5</f>
        <v>659628.81008079997</v>
      </c>
      <c r="O17" s="12">
        <f>O9*'1_MODEL_assumptions'!O$9/'1_MODEL_assumptions'!$G$5</f>
        <v>752100.13859679992</v>
      </c>
      <c r="P17" s="12">
        <f>P9*'1_MODEL_assumptions'!P$9/'1_MODEL_assumptions'!$G$5</f>
        <v>1055714.3338910001</v>
      </c>
      <c r="Q17" s="12">
        <f>Q9*'1_MODEL_assumptions'!Q$9/'1_MODEL_assumptions'!$G$5</f>
        <v>1171303.4945360001</v>
      </c>
      <c r="R17" s="12">
        <f>R9*'1_MODEL_assumptions'!R$9/'1_MODEL_assumptions'!$G$5</f>
        <v>1286892.6551810002</v>
      </c>
      <c r="S17" s="12">
        <f>S9*'1_MODEL_assumptions'!S$9/'1_MODEL_assumptions'!$G$5</f>
        <v>1402481.8158260002</v>
      </c>
      <c r="T17" s="12">
        <f>T9*'1_MODEL_assumptions'!T$9/'1_MODEL_assumptions'!$G$5</f>
        <v>1518070.9764710004</v>
      </c>
      <c r="U17" s="12">
        <f>U9*'1_MODEL_assumptions'!U$9/'1_MODEL_assumptions'!$G$5</f>
        <v>1633660.1371160005</v>
      </c>
      <c r="V17" s="12">
        <f>V9*'1_MODEL_assumptions'!V$9/'1_MODEL_assumptions'!$G$5</f>
        <v>1749249.2977610007</v>
      </c>
      <c r="W17" s="12">
        <f>W9*'1_MODEL_assumptions'!W$9/'1_MODEL_assumptions'!$G$5</f>
        <v>1864838.4584060006</v>
      </c>
      <c r="X17" s="12">
        <f>X9*'1_MODEL_assumptions'!X$9/'1_MODEL_assumptions'!$G$5</f>
        <v>1980427.619051001</v>
      </c>
      <c r="Y17" s="12">
        <f>Y9*'1_MODEL_assumptions'!Y$9/'1_MODEL_assumptions'!$G$5</f>
        <v>2096016.779696001</v>
      </c>
      <c r="Z17" s="12">
        <f>Z9*'1_MODEL_assumptions'!Z$9/'1_MODEL_assumptions'!$G$5</f>
        <v>2211605.9403410009</v>
      </c>
      <c r="AA17" s="12">
        <f>AA9*'1_MODEL_assumptions'!AA$9/'1_MODEL_assumptions'!$G$5</f>
        <v>2327195.1009860011</v>
      </c>
      <c r="AB17" s="12">
        <f>AB9*'1_MODEL_assumptions'!AB$9/'1_MODEL_assumptions'!$G$5</f>
        <v>2442784.2616310013</v>
      </c>
      <c r="AC17" s="12">
        <f>AC9*'1_MODEL_assumptions'!AC$9/'1_MODEL_assumptions'!$G$5</f>
        <v>2558373.4222760014</v>
      </c>
      <c r="AD17" s="12">
        <f>AD9*'1_MODEL_assumptions'!AD$9/'1_MODEL_assumptions'!$G$5</f>
        <v>2673962.5829210011</v>
      </c>
      <c r="AE17" s="12">
        <f>AE9*'1_MODEL_assumptions'!AE$9/'1_MODEL_assumptions'!$G$5</f>
        <v>2789551.7435660018</v>
      </c>
      <c r="AF17" s="12">
        <f>AF9*'1_MODEL_assumptions'!AF$9/'1_MODEL_assumptions'!$G$5</f>
        <v>2905140.9042110019</v>
      </c>
      <c r="AG17" s="12">
        <f>AG9*'1_MODEL_assumptions'!AG$9/'1_MODEL_assumptions'!$G$5</f>
        <v>3020730.0648560016</v>
      </c>
      <c r="AH17" s="12">
        <f>AH9*'1_MODEL_assumptions'!AH$9/'1_MODEL_assumptions'!$G$5</f>
        <v>3136319.2255010023</v>
      </c>
    </row>
    <row r="18" spans="2:34" x14ac:dyDescent="0.2">
      <c r="D18" s="4" t="s">
        <v>187</v>
      </c>
      <c r="E18" s="4" t="s">
        <v>138</v>
      </c>
      <c r="I18" s="12">
        <f>I10*'1_MODEL_assumptions'!I$9/'1_MODEL_assumptions'!$G$5</f>
        <v>119772.391552</v>
      </c>
      <c r="J18" s="12">
        <f>J10*'1_MODEL_assumptions'!J$9/'1_MODEL_assumptions'!$G$5</f>
        <v>175915.70009200001</v>
      </c>
      <c r="K18" s="12">
        <f>K10*'1_MODEL_assumptions'!K$9/'1_MODEL_assumptions'!$G$5</f>
        <v>232059.00863200004</v>
      </c>
      <c r="L18" s="12">
        <f>L10*'1_MODEL_assumptions'!L$9/'1_MODEL_assumptions'!$G$5</f>
        <v>288202.31717200001</v>
      </c>
      <c r="M18" s="12">
        <f>M10*'1_MODEL_assumptions'!M$9/'1_MODEL_assumptions'!$G$5</f>
        <v>344345.62571200001</v>
      </c>
      <c r="N18" s="12">
        <f>N10*'1_MODEL_assumptions'!N$9/'1_MODEL_assumptions'!$G$5</f>
        <v>320391.14740160009</v>
      </c>
      <c r="O18" s="12">
        <f>O10*'1_MODEL_assumptions'!O$9/'1_MODEL_assumptions'!$G$5</f>
        <v>365305.79423360003</v>
      </c>
      <c r="P18" s="12">
        <f>P10*'1_MODEL_assumptions'!P$9/'1_MODEL_assumptions'!$G$5</f>
        <v>512775.551332</v>
      </c>
      <c r="Q18" s="12">
        <f>Q10*'1_MODEL_assumptions'!Q$9/'1_MODEL_assumptions'!$G$5</f>
        <v>568918.85987200006</v>
      </c>
      <c r="R18" s="12">
        <f>R10*'1_MODEL_assumptions'!R$9/'1_MODEL_assumptions'!$G$5</f>
        <v>625062.16841200017</v>
      </c>
      <c r="S18" s="12">
        <f>S10*'1_MODEL_assumptions'!S$9/'1_MODEL_assumptions'!$G$5</f>
        <v>681205.47695200017</v>
      </c>
      <c r="T18" s="12">
        <f>T10*'1_MODEL_assumptions'!T$9/'1_MODEL_assumptions'!$G$5</f>
        <v>737348.78549200029</v>
      </c>
      <c r="U18" s="12">
        <f>U10*'1_MODEL_assumptions'!U$9/'1_MODEL_assumptions'!$G$5</f>
        <v>793492.0940320004</v>
      </c>
      <c r="V18" s="12">
        <f>V10*'1_MODEL_assumptions'!V$9/'1_MODEL_assumptions'!$G$5</f>
        <v>849635.4025720004</v>
      </c>
      <c r="W18" s="12">
        <f>W10*'1_MODEL_assumptions'!W$9/'1_MODEL_assumptions'!$G$5</f>
        <v>905778.7111120004</v>
      </c>
      <c r="X18" s="12">
        <f>X10*'1_MODEL_assumptions'!X$9/'1_MODEL_assumptions'!$G$5</f>
        <v>961922.01965200063</v>
      </c>
      <c r="Y18" s="12">
        <f>Y10*'1_MODEL_assumptions'!Y$9/'1_MODEL_assumptions'!$G$5</f>
        <v>1018065.3281920006</v>
      </c>
      <c r="Z18" s="12">
        <f>Z10*'1_MODEL_assumptions'!Z$9/'1_MODEL_assumptions'!$G$5</f>
        <v>1074208.6367320006</v>
      </c>
      <c r="AA18" s="12">
        <f>AA10*'1_MODEL_assumptions'!AA$9/'1_MODEL_assumptions'!$G$5</f>
        <v>1130351.9452720007</v>
      </c>
      <c r="AB18" s="12">
        <f>AB10*'1_MODEL_assumptions'!AB$9/'1_MODEL_assumptions'!$G$5</f>
        <v>1186495.2538120006</v>
      </c>
      <c r="AC18" s="12">
        <f>AC10*'1_MODEL_assumptions'!AC$9/'1_MODEL_assumptions'!$G$5</f>
        <v>1242638.5623520007</v>
      </c>
      <c r="AD18" s="12">
        <f>AD10*'1_MODEL_assumptions'!AD$9/'1_MODEL_assumptions'!$G$5</f>
        <v>1298781.8708920009</v>
      </c>
      <c r="AE18" s="12">
        <f>AE10*'1_MODEL_assumptions'!AE$9/'1_MODEL_assumptions'!$G$5</f>
        <v>1354925.1794320007</v>
      </c>
      <c r="AF18" s="12">
        <f>AF10*'1_MODEL_assumptions'!AF$9/'1_MODEL_assumptions'!$G$5</f>
        <v>1411068.4879720008</v>
      </c>
      <c r="AG18" s="12">
        <f>AG10*'1_MODEL_assumptions'!AG$9/'1_MODEL_assumptions'!$G$5</f>
        <v>1467211.7965120007</v>
      </c>
      <c r="AH18" s="12">
        <f>AH10*'1_MODEL_assumptions'!AH$9/'1_MODEL_assumptions'!$G$5</f>
        <v>1523355.1050520011</v>
      </c>
    </row>
    <row r="20" spans="2:34" x14ac:dyDescent="0.2">
      <c r="C20" s="1" t="s">
        <v>432</v>
      </c>
    </row>
    <row r="21" spans="2:34" x14ac:dyDescent="0.2">
      <c r="D21" s="4" t="s">
        <v>182</v>
      </c>
      <c r="E21" s="4" t="s">
        <v>138</v>
      </c>
      <c r="I21" s="12">
        <f>('1_MODEL_assumptions'!I$12/'1_MODEL_assumptions'!$G$5)*I5</f>
        <v>0</v>
      </c>
      <c r="J21" s="12">
        <f>('1_MODEL_assumptions'!J$12/'1_MODEL_assumptions'!$G$5)*J5</f>
        <v>0</v>
      </c>
      <c r="K21" s="12">
        <f>('1_MODEL_assumptions'!K$12/'1_MODEL_assumptions'!$G$5)*K5</f>
        <v>0</v>
      </c>
      <c r="L21" s="12">
        <f>('1_MODEL_assumptions'!L$12/'1_MODEL_assumptions'!$G$5)*L5</f>
        <v>0</v>
      </c>
      <c r="M21" s="12">
        <f>('1_MODEL_assumptions'!M$12/'1_MODEL_assumptions'!$G$5)*M5</f>
        <v>0</v>
      </c>
      <c r="N21" s="12">
        <f>('1_MODEL_assumptions'!N$12/'1_MODEL_assumptions'!$G$5)*N5</f>
        <v>0</v>
      </c>
      <c r="O21" s="12">
        <f>('1_MODEL_assumptions'!O$12/'1_MODEL_assumptions'!$G$5)*O5</f>
        <v>0</v>
      </c>
      <c r="P21" s="12">
        <f>('1_MODEL_assumptions'!P$12/'1_MODEL_assumptions'!$G$5)*P5</f>
        <v>0</v>
      </c>
      <c r="Q21" s="12">
        <f>('1_MODEL_assumptions'!Q$12/'1_MODEL_assumptions'!$G$5)*Q5</f>
        <v>0</v>
      </c>
      <c r="R21" s="12">
        <f>('1_MODEL_assumptions'!R$12/'1_MODEL_assumptions'!$G$5)*R5</f>
        <v>0</v>
      </c>
      <c r="S21" s="12">
        <f>('1_MODEL_assumptions'!S$12/'1_MODEL_assumptions'!$G$5)*S5</f>
        <v>0</v>
      </c>
      <c r="T21" s="12">
        <f>('1_MODEL_assumptions'!T$12/'1_MODEL_assumptions'!$G$5)*T5</f>
        <v>0</v>
      </c>
      <c r="U21" s="12">
        <f>('1_MODEL_assumptions'!U$12/'1_MODEL_assumptions'!$G$5)*U5</f>
        <v>0</v>
      </c>
      <c r="V21" s="12">
        <f>('1_MODEL_assumptions'!V$12/'1_MODEL_assumptions'!$G$5)*V5</f>
        <v>0</v>
      </c>
      <c r="W21" s="12">
        <f>('1_MODEL_assumptions'!W$12/'1_MODEL_assumptions'!$G$5)*W5</f>
        <v>0</v>
      </c>
      <c r="X21" s="12">
        <f>('1_MODEL_assumptions'!X$12/'1_MODEL_assumptions'!$G$5)*X5</f>
        <v>0</v>
      </c>
      <c r="Y21" s="12">
        <f>('1_MODEL_assumptions'!Y$12/'1_MODEL_assumptions'!$G$5)*Y5</f>
        <v>0</v>
      </c>
      <c r="Z21" s="12">
        <f>('1_MODEL_assumptions'!Z$12/'1_MODEL_assumptions'!$G$5)*Z5</f>
        <v>0</v>
      </c>
      <c r="AA21" s="12">
        <f>('1_MODEL_assumptions'!AA$12/'1_MODEL_assumptions'!$G$5)*AA5</f>
        <v>0</v>
      </c>
      <c r="AB21" s="12">
        <f>('1_MODEL_assumptions'!AB$12/'1_MODEL_assumptions'!$G$5)*AB5</f>
        <v>0</v>
      </c>
      <c r="AC21" s="12">
        <f>('1_MODEL_assumptions'!AC$12/'1_MODEL_assumptions'!$G$5)*AC5</f>
        <v>0</v>
      </c>
      <c r="AD21" s="12">
        <f>('1_MODEL_assumptions'!AD$12/'1_MODEL_assumptions'!$G$5)*AD5</f>
        <v>0</v>
      </c>
      <c r="AE21" s="12">
        <f>('1_MODEL_assumptions'!AE$12/'1_MODEL_assumptions'!$G$5)*AE5</f>
        <v>0</v>
      </c>
      <c r="AF21" s="12">
        <f>('1_MODEL_assumptions'!AF$12/'1_MODEL_assumptions'!$G$5)*AF5</f>
        <v>0</v>
      </c>
      <c r="AG21" s="12">
        <f>('1_MODEL_assumptions'!AG$12/'1_MODEL_assumptions'!$G$5)*AG5</f>
        <v>0</v>
      </c>
      <c r="AH21" s="12">
        <f>('1_MODEL_assumptions'!AH$12/'1_MODEL_assumptions'!$G$5)*AH5</f>
        <v>0</v>
      </c>
    </row>
    <row r="22" spans="2:34" x14ac:dyDescent="0.2">
      <c r="D22" s="4" t="s">
        <v>183</v>
      </c>
      <c r="E22" s="4" t="s">
        <v>138</v>
      </c>
      <c r="I22" s="12">
        <f>('1_MODEL_assumptions'!I$12/'1_MODEL_assumptions'!$G$5)*I6</f>
        <v>0</v>
      </c>
      <c r="J22" s="12">
        <f>('1_MODEL_assumptions'!J$12/'1_MODEL_assumptions'!$G$5)*J6</f>
        <v>0</v>
      </c>
      <c r="K22" s="12">
        <f>('1_MODEL_assumptions'!K$12/'1_MODEL_assumptions'!$G$5)*K6</f>
        <v>0</v>
      </c>
      <c r="L22" s="12">
        <f>('1_MODEL_assumptions'!L$12/'1_MODEL_assumptions'!$G$5)*L6</f>
        <v>0</v>
      </c>
      <c r="M22" s="12">
        <f>('1_MODEL_assumptions'!M$12/'1_MODEL_assumptions'!$G$5)*M6</f>
        <v>0</v>
      </c>
      <c r="N22" s="12">
        <f>('1_MODEL_assumptions'!N$12/'1_MODEL_assumptions'!$G$5)*N6</f>
        <v>0</v>
      </c>
      <c r="O22" s="12">
        <f>('1_MODEL_assumptions'!O$12/'1_MODEL_assumptions'!$G$5)*O6</f>
        <v>0</v>
      </c>
      <c r="P22" s="12">
        <f>('1_MODEL_assumptions'!P$12/'1_MODEL_assumptions'!$G$5)*P6</f>
        <v>0</v>
      </c>
      <c r="Q22" s="12">
        <f>('1_MODEL_assumptions'!Q$12/'1_MODEL_assumptions'!$G$5)*Q6</f>
        <v>0</v>
      </c>
      <c r="R22" s="12">
        <f>('1_MODEL_assumptions'!R$12/'1_MODEL_assumptions'!$G$5)*R6</f>
        <v>0</v>
      </c>
      <c r="S22" s="12">
        <f>('1_MODEL_assumptions'!S$12/'1_MODEL_assumptions'!$G$5)*S6</f>
        <v>0</v>
      </c>
      <c r="T22" s="12">
        <f>('1_MODEL_assumptions'!T$12/'1_MODEL_assumptions'!$G$5)*T6</f>
        <v>0</v>
      </c>
      <c r="U22" s="12">
        <f>('1_MODEL_assumptions'!U$12/'1_MODEL_assumptions'!$G$5)*U6</f>
        <v>0</v>
      </c>
      <c r="V22" s="12">
        <f>('1_MODEL_assumptions'!V$12/'1_MODEL_assumptions'!$G$5)*V6</f>
        <v>0</v>
      </c>
      <c r="W22" s="12">
        <f>('1_MODEL_assumptions'!W$12/'1_MODEL_assumptions'!$G$5)*W6</f>
        <v>0</v>
      </c>
      <c r="X22" s="12">
        <f>('1_MODEL_assumptions'!X$12/'1_MODEL_assumptions'!$G$5)*X6</f>
        <v>0</v>
      </c>
      <c r="Y22" s="12">
        <f>('1_MODEL_assumptions'!Y$12/'1_MODEL_assumptions'!$G$5)*Y6</f>
        <v>0</v>
      </c>
      <c r="Z22" s="12">
        <f>('1_MODEL_assumptions'!Z$12/'1_MODEL_assumptions'!$G$5)*Z6</f>
        <v>0</v>
      </c>
      <c r="AA22" s="12">
        <f>('1_MODEL_assumptions'!AA$12/'1_MODEL_assumptions'!$G$5)*AA6</f>
        <v>0</v>
      </c>
      <c r="AB22" s="12">
        <f>('1_MODEL_assumptions'!AB$12/'1_MODEL_assumptions'!$G$5)*AB6</f>
        <v>0</v>
      </c>
      <c r="AC22" s="12">
        <f>('1_MODEL_assumptions'!AC$12/'1_MODEL_assumptions'!$G$5)*AC6</f>
        <v>0</v>
      </c>
      <c r="AD22" s="12">
        <f>('1_MODEL_assumptions'!AD$12/'1_MODEL_assumptions'!$G$5)*AD6</f>
        <v>0</v>
      </c>
      <c r="AE22" s="12">
        <f>('1_MODEL_assumptions'!AE$12/'1_MODEL_assumptions'!$G$5)*AE6</f>
        <v>0</v>
      </c>
      <c r="AF22" s="12">
        <f>('1_MODEL_assumptions'!AF$12/'1_MODEL_assumptions'!$G$5)*AF6</f>
        <v>0</v>
      </c>
      <c r="AG22" s="12">
        <f>('1_MODEL_assumptions'!AG$12/'1_MODEL_assumptions'!$G$5)*AG6</f>
        <v>0</v>
      </c>
      <c r="AH22" s="12">
        <f>('1_MODEL_assumptions'!AH$12/'1_MODEL_assumptions'!$G$5)*AH6</f>
        <v>0</v>
      </c>
    </row>
    <row r="23" spans="2:34" x14ac:dyDescent="0.2">
      <c r="D23" s="4" t="s">
        <v>184</v>
      </c>
      <c r="E23" s="4" t="s">
        <v>138</v>
      </c>
      <c r="I23" s="12">
        <f>('1_MODEL_assumptions'!I$12/'1_MODEL_assumptions'!$G$5)*I7</f>
        <v>0</v>
      </c>
      <c r="J23" s="12">
        <f>('1_MODEL_assumptions'!J$12/'1_MODEL_assumptions'!$G$5)*J7</f>
        <v>0</v>
      </c>
      <c r="K23" s="12">
        <f>('1_MODEL_assumptions'!K$12/'1_MODEL_assumptions'!$G$5)*K7</f>
        <v>0</v>
      </c>
      <c r="L23" s="12">
        <f>('1_MODEL_assumptions'!L$12/'1_MODEL_assumptions'!$G$5)*L7</f>
        <v>0</v>
      </c>
      <c r="M23" s="12">
        <f>('1_MODEL_assumptions'!M$12/'1_MODEL_assumptions'!$G$5)*M7</f>
        <v>0</v>
      </c>
      <c r="N23" s="12">
        <f>('1_MODEL_assumptions'!N$12/'1_MODEL_assumptions'!$G$5)*N7</f>
        <v>0</v>
      </c>
      <c r="O23" s="12">
        <f>('1_MODEL_assumptions'!O$12/'1_MODEL_assumptions'!$G$5)*O7</f>
        <v>0</v>
      </c>
      <c r="P23" s="12">
        <f>('1_MODEL_assumptions'!P$12/'1_MODEL_assumptions'!$G$5)*P7</f>
        <v>0</v>
      </c>
      <c r="Q23" s="12">
        <f>('1_MODEL_assumptions'!Q$12/'1_MODEL_assumptions'!$G$5)*Q7</f>
        <v>0</v>
      </c>
      <c r="R23" s="12">
        <f>('1_MODEL_assumptions'!R$12/'1_MODEL_assumptions'!$G$5)*R7</f>
        <v>0</v>
      </c>
      <c r="S23" s="12">
        <f>('1_MODEL_assumptions'!S$12/'1_MODEL_assumptions'!$G$5)*S7</f>
        <v>0</v>
      </c>
      <c r="T23" s="12">
        <f>('1_MODEL_assumptions'!T$12/'1_MODEL_assumptions'!$G$5)*T7</f>
        <v>0</v>
      </c>
      <c r="U23" s="12">
        <f>('1_MODEL_assumptions'!U$12/'1_MODEL_assumptions'!$G$5)*U7</f>
        <v>0</v>
      </c>
      <c r="V23" s="12">
        <f>('1_MODEL_assumptions'!V$12/'1_MODEL_assumptions'!$G$5)*V7</f>
        <v>0</v>
      </c>
      <c r="W23" s="12">
        <f>('1_MODEL_assumptions'!W$12/'1_MODEL_assumptions'!$G$5)*W7</f>
        <v>0</v>
      </c>
      <c r="X23" s="12">
        <f>('1_MODEL_assumptions'!X$12/'1_MODEL_assumptions'!$G$5)*X7</f>
        <v>0</v>
      </c>
      <c r="Y23" s="12">
        <f>('1_MODEL_assumptions'!Y$12/'1_MODEL_assumptions'!$G$5)*Y7</f>
        <v>0</v>
      </c>
      <c r="Z23" s="12">
        <f>('1_MODEL_assumptions'!Z$12/'1_MODEL_assumptions'!$G$5)*Z7</f>
        <v>0</v>
      </c>
      <c r="AA23" s="12">
        <f>('1_MODEL_assumptions'!AA$12/'1_MODEL_assumptions'!$G$5)*AA7</f>
        <v>0</v>
      </c>
      <c r="AB23" s="12">
        <f>('1_MODEL_assumptions'!AB$12/'1_MODEL_assumptions'!$G$5)*AB7</f>
        <v>0</v>
      </c>
      <c r="AC23" s="12">
        <f>('1_MODEL_assumptions'!AC$12/'1_MODEL_assumptions'!$G$5)*AC7</f>
        <v>0</v>
      </c>
      <c r="AD23" s="12">
        <f>('1_MODEL_assumptions'!AD$12/'1_MODEL_assumptions'!$G$5)*AD7</f>
        <v>0</v>
      </c>
      <c r="AE23" s="12">
        <f>('1_MODEL_assumptions'!AE$12/'1_MODEL_assumptions'!$G$5)*AE7</f>
        <v>0</v>
      </c>
      <c r="AF23" s="12">
        <f>('1_MODEL_assumptions'!AF$12/'1_MODEL_assumptions'!$G$5)*AF7</f>
        <v>0</v>
      </c>
      <c r="AG23" s="12">
        <f>('1_MODEL_assumptions'!AG$12/'1_MODEL_assumptions'!$G$5)*AG7</f>
        <v>0</v>
      </c>
      <c r="AH23" s="12">
        <f>('1_MODEL_assumptions'!AH$12/'1_MODEL_assumptions'!$G$5)*AH7</f>
        <v>0</v>
      </c>
    </row>
    <row r="24" spans="2:34" x14ac:dyDescent="0.2">
      <c r="D24" s="4" t="s">
        <v>185</v>
      </c>
      <c r="E24" s="4" t="s">
        <v>138</v>
      </c>
      <c r="I24" s="12">
        <f>('1_MODEL_assumptions'!I$12/'1_MODEL_assumptions'!$G$5)*I8</f>
        <v>0</v>
      </c>
      <c r="J24" s="12">
        <f>('1_MODEL_assumptions'!J$12/'1_MODEL_assumptions'!$G$5)*J8</f>
        <v>0</v>
      </c>
      <c r="K24" s="12">
        <f>('1_MODEL_assumptions'!K$12/'1_MODEL_assumptions'!$G$5)*K8</f>
        <v>0</v>
      </c>
      <c r="L24" s="12">
        <f>('1_MODEL_assumptions'!L$12/'1_MODEL_assumptions'!$G$5)*L8</f>
        <v>0</v>
      </c>
      <c r="M24" s="12">
        <f>('1_MODEL_assumptions'!M$12/'1_MODEL_assumptions'!$G$5)*M8</f>
        <v>0</v>
      </c>
      <c r="N24" s="12">
        <f>('1_MODEL_assumptions'!N$12/'1_MODEL_assumptions'!$G$5)*N8</f>
        <v>0</v>
      </c>
      <c r="O24" s="12">
        <f>('1_MODEL_assumptions'!O$12/'1_MODEL_assumptions'!$G$5)*O8</f>
        <v>0</v>
      </c>
      <c r="P24" s="12">
        <f>('1_MODEL_assumptions'!P$12/'1_MODEL_assumptions'!$G$5)*P8</f>
        <v>0</v>
      </c>
      <c r="Q24" s="12">
        <f>('1_MODEL_assumptions'!Q$12/'1_MODEL_assumptions'!$G$5)*Q8</f>
        <v>0</v>
      </c>
      <c r="R24" s="12">
        <f>('1_MODEL_assumptions'!R$12/'1_MODEL_assumptions'!$G$5)*R8</f>
        <v>0</v>
      </c>
      <c r="S24" s="12">
        <f>('1_MODEL_assumptions'!S$12/'1_MODEL_assumptions'!$G$5)*S8</f>
        <v>0</v>
      </c>
      <c r="T24" s="12">
        <f>('1_MODEL_assumptions'!T$12/'1_MODEL_assumptions'!$G$5)*T8</f>
        <v>0</v>
      </c>
      <c r="U24" s="12">
        <f>('1_MODEL_assumptions'!U$12/'1_MODEL_assumptions'!$G$5)*U8</f>
        <v>0</v>
      </c>
      <c r="V24" s="12">
        <f>('1_MODEL_assumptions'!V$12/'1_MODEL_assumptions'!$G$5)*V8</f>
        <v>0</v>
      </c>
      <c r="W24" s="12">
        <f>('1_MODEL_assumptions'!W$12/'1_MODEL_assumptions'!$G$5)*W8</f>
        <v>0</v>
      </c>
      <c r="X24" s="12">
        <f>('1_MODEL_assumptions'!X$12/'1_MODEL_assumptions'!$G$5)*X8</f>
        <v>0</v>
      </c>
      <c r="Y24" s="12">
        <f>('1_MODEL_assumptions'!Y$12/'1_MODEL_assumptions'!$G$5)*Y8</f>
        <v>0</v>
      </c>
      <c r="Z24" s="12">
        <f>('1_MODEL_assumptions'!Z$12/'1_MODEL_assumptions'!$G$5)*Z8</f>
        <v>0</v>
      </c>
      <c r="AA24" s="12">
        <f>('1_MODEL_assumptions'!AA$12/'1_MODEL_assumptions'!$G$5)*AA8</f>
        <v>0</v>
      </c>
      <c r="AB24" s="12">
        <f>('1_MODEL_assumptions'!AB$12/'1_MODEL_assumptions'!$G$5)*AB8</f>
        <v>0</v>
      </c>
      <c r="AC24" s="12">
        <f>('1_MODEL_assumptions'!AC$12/'1_MODEL_assumptions'!$G$5)*AC8</f>
        <v>0</v>
      </c>
      <c r="AD24" s="12">
        <f>('1_MODEL_assumptions'!AD$12/'1_MODEL_assumptions'!$G$5)*AD8</f>
        <v>0</v>
      </c>
      <c r="AE24" s="12">
        <f>('1_MODEL_assumptions'!AE$12/'1_MODEL_assumptions'!$G$5)*AE8</f>
        <v>0</v>
      </c>
      <c r="AF24" s="12">
        <f>('1_MODEL_assumptions'!AF$12/'1_MODEL_assumptions'!$G$5)*AF8</f>
        <v>0</v>
      </c>
      <c r="AG24" s="12">
        <f>('1_MODEL_assumptions'!AG$12/'1_MODEL_assumptions'!$G$5)*AG8</f>
        <v>0</v>
      </c>
      <c r="AH24" s="12">
        <f>('1_MODEL_assumptions'!AH$12/'1_MODEL_assumptions'!$G$5)*AH8</f>
        <v>0</v>
      </c>
    </row>
    <row r="25" spans="2:34" x14ac:dyDescent="0.2">
      <c r="D25" s="4" t="s">
        <v>186</v>
      </c>
      <c r="E25" s="4" t="s">
        <v>138</v>
      </c>
      <c r="I25" s="12">
        <f>('1_MODEL_assumptions'!I$12/'1_MODEL_assumptions'!$G$5)*I9</f>
        <v>0</v>
      </c>
      <c r="J25" s="12">
        <f>('1_MODEL_assumptions'!J$12/'1_MODEL_assumptions'!$G$5)*J9</f>
        <v>0</v>
      </c>
      <c r="K25" s="12">
        <f>('1_MODEL_assumptions'!K$12/'1_MODEL_assumptions'!$G$5)*K9</f>
        <v>0</v>
      </c>
      <c r="L25" s="12">
        <f>('1_MODEL_assumptions'!L$12/'1_MODEL_assumptions'!$G$5)*L9</f>
        <v>0</v>
      </c>
      <c r="M25" s="12">
        <f>('1_MODEL_assumptions'!M$12/'1_MODEL_assumptions'!$G$5)*M9</f>
        <v>0</v>
      </c>
      <c r="N25" s="12">
        <f>('1_MODEL_assumptions'!N$12/'1_MODEL_assumptions'!$G$5)*N9</f>
        <v>0</v>
      </c>
      <c r="O25" s="12">
        <f>('1_MODEL_assumptions'!O$12/'1_MODEL_assumptions'!$G$5)*O9</f>
        <v>0</v>
      </c>
      <c r="P25" s="12">
        <f>('1_MODEL_assumptions'!P$12/'1_MODEL_assumptions'!$G$5)*P9</f>
        <v>0</v>
      </c>
      <c r="Q25" s="12">
        <f>('1_MODEL_assumptions'!Q$12/'1_MODEL_assumptions'!$G$5)*Q9</f>
        <v>0</v>
      </c>
      <c r="R25" s="12">
        <f>('1_MODEL_assumptions'!R$12/'1_MODEL_assumptions'!$G$5)*R9</f>
        <v>0</v>
      </c>
      <c r="S25" s="12">
        <f>('1_MODEL_assumptions'!S$12/'1_MODEL_assumptions'!$G$5)*S9</f>
        <v>0</v>
      </c>
      <c r="T25" s="12">
        <f>('1_MODEL_assumptions'!T$12/'1_MODEL_assumptions'!$G$5)*T9</f>
        <v>0</v>
      </c>
      <c r="U25" s="12">
        <f>('1_MODEL_assumptions'!U$12/'1_MODEL_assumptions'!$G$5)*U9</f>
        <v>0</v>
      </c>
      <c r="V25" s="12">
        <f>('1_MODEL_assumptions'!V$12/'1_MODEL_assumptions'!$G$5)*V9</f>
        <v>0</v>
      </c>
      <c r="W25" s="12">
        <f>('1_MODEL_assumptions'!W$12/'1_MODEL_assumptions'!$G$5)*W9</f>
        <v>0</v>
      </c>
      <c r="X25" s="12">
        <f>('1_MODEL_assumptions'!X$12/'1_MODEL_assumptions'!$G$5)*X9</f>
        <v>0</v>
      </c>
      <c r="Y25" s="12">
        <f>('1_MODEL_assumptions'!Y$12/'1_MODEL_assumptions'!$G$5)*Y9</f>
        <v>0</v>
      </c>
      <c r="Z25" s="12">
        <f>('1_MODEL_assumptions'!Z$12/'1_MODEL_assumptions'!$G$5)*Z9</f>
        <v>0</v>
      </c>
      <c r="AA25" s="12">
        <f>('1_MODEL_assumptions'!AA$12/'1_MODEL_assumptions'!$G$5)*AA9</f>
        <v>0</v>
      </c>
      <c r="AB25" s="12">
        <f>('1_MODEL_assumptions'!AB$12/'1_MODEL_assumptions'!$G$5)*AB9</f>
        <v>0</v>
      </c>
      <c r="AC25" s="12">
        <f>('1_MODEL_assumptions'!AC$12/'1_MODEL_assumptions'!$G$5)*AC9</f>
        <v>0</v>
      </c>
      <c r="AD25" s="12">
        <f>('1_MODEL_assumptions'!AD$12/'1_MODEL_assumptions'!$G$5)*AD9</f>
        <v>0</v>
      </c>
      <c r="AE25" s="12">
        <f>('1_MODEL_assumptions'!AE$12/'1_MODEL_assumptions'!$G$5)*AE9</f>
        <v>0</v>
      </c>
      <c r="AF25" s="12">
        <f>('1_MODEL_assumptions'!AF$12/'1_MODEL_assumptions'!$G$5)*AF9</f>
        <v>0</v>
      </c>
      <c r="AG25" s="12">
        <f>('1_MODEL_assumptions'!AG$12/'1_MODEL_assumptions'!$G$5)*AG9</f>
        <v>0</v>
      </c>
      <c r="AH25" s="12">
        <f>('1_MODEL_assumptions'!AH$12/'1_MODEL_assumptions'!$G$5)*AH9</f>
        <v>0</v>
      </c>
    </row>
    <row r="26" spans="2:34" x14ac:dyDescent="0.2">
      <c r="D26" s="4" t="s">
        <v>187</v>
      </c>
      <c r="E26" s="4" t="s">
        <v>138</v>
      </c>
      <c r="I26" s="12">
        <f>('1_MODEL_assumptions'!I$12/'1_MODEL_assumptions'!$G$5)*I10</f>
        <v>0</v>
      </c>
      <c r="J26" s="12">
        <f>('1_MODEL_assumptions'!J$12/'1_MODEL_assumptions'!$G$5)*J10</f>
        <v>0</v>
      </c>
      <c r="K26" s="12">
        <f>('1_MODEL_assumptions'!K$12/'1_MODEL_assumptions'!$G$5)*K10</f>
        <v>0</v>
      </c>
      <c r="L26" s="12">
        <f>('1_MODEL_assumptions'!L$12/'1_MODEL_assumptions'!$G$5)*L10</f>
        <v>0</v>
      </c>
      <c r="M26" s="12">
        <f>('1_MODEL_assumptions'!M$12/'1_MODEL_assumptions'!$G$5)*M10</f>
        <v>0</v>
      </c>
      <c r="N26" s="12">
        <f>('1_MODEL_assumptions'!N$12/'1_MODEL_assumptions'!$G$5)*N10</f>
        <v>0</v>
      </c>
      <c r="O26" s="12">
        <f>('1_MODEL_assumptions'!O$12/'1_MODEL_assumptions'!$G$5)*O10</f>
        <v>0</v>
      </c>
      <c r="P26" s="12">
        <f>('1_MODEL_assumptions'!P$12/'1_MODEL_assumptions'!$G$5)*P10</f>
        <v>0</v>
      </c>
      <c r="Q26" s="12">
        <f>('1_MODEL_assumptions'!Q$12/'1_MODEL_assumptions'!$G$5)*Q10</f>
        <v>0</v>
      </c>
      <c r="R26" s="12">
        <f>('1_MODEL_assumptions'!R$12/'1_MODEL_assumptions'!$G$5)*R10</f>
        <v>0</v>
      </c>
      <c r="S26" s="12">
        <f>('1_MODEL_assumptions'!S$12/'1_MODEL_assumptions'!$G$5)*S10</f>
        <v>0</v>
      </c>
      <c r="T26" s="12">
        <f>('1_MODEL_assumptions'!T$12/'1_MODEL_assumptions'!$G$5)*T10</f>
        <v>0</v>
      </c>
      <c r="U26" s="12">
        <f>('1_MODEL_assumptions'!U$12/'1_MODEL_assumptions'!$G$5)*U10</f>
        <v>0</v>
      </c>
      <c r="V26" s="12">
        <f>('1_MODEL_assumptions'!V$12/'1_MODEL_assumptions'!$G$5)*V10</f>
        <v>0</v>
      </c>
      <c r="W26" s="12">
        <f>('1_MODEL_assumptions'!W$12/'1_MODEL_assumptions'!$G$5)*W10</f>
        <v>0</v>
      </c>
      <c r="X26" s="12">
        <f>('1_MODEL_assumptions'!X$12/'1_MODEL_assumptions'!$G$5)*X10</f>
        <v>0</v>
      </c>
      <c r="Y26" s="12">
        <f>('1_MODEL_assumptions'!Y$12/'1_MODEL_assumptions'!$G$5)*Y10</f>
        <v>0</v>
      </c>
      <c r="Z26" s="12">
        <f>('1_MODEL_assumptions'!Z$12/'1_MODEL_assumptions'!$G$5)*Z10</f>
        <v>0</v>
      </c>
      <c r="AA26" s="12">
        <f>('1_MODEL_assumptions'!AA$12/'1_MODEL_assumptions'!$G$5)*AA10</f>
        <v>0</v>
      </c>
      <c r="AB26" s="12">
        <f>('1_MODEL_assumptions'!AB$12/'1_MODEL_assumptions'!$G$5)*AB10</f>
        <v>0</v>
      </c>
      <c r="AC26" s="12">
        <f>('1_MODEL_assumptions'!AC$12/'1_MODEL_assumptions'!$G$5)*AC10</f>
        <v>0</v>
      </c>
      <c r="AD26" s="12">
        <f>('1_MODEL_assumptions'!AD$12/'1_MODEL_assumptions'!$G$5)*AD10</f>
        <v>0</v>
      </c>
      <c r="AE26" s="12">
        <f>('1_MODEL_assumptions'!AE$12/'1_MODEL_assumptions'!$G$5)*AE10</f>
        <v>0</v>
      </c>
      <c r="AF26" s="12">
        <f>('1_MODEL_assumptions'!AF$12/'1_MODEL_assumptions'!$G$5)*AF10</f>
        <v>0</v>
      </c>
      <c r="AG26" s="12">
        <f>('1_MODEL_assumptions'!AG$12/'1_MODEL_assumptions'!$G$5)*AG10</f>
        <v>0</v>
      </c>
      <c r="AH26" s="12">
        <f>('1_MODEL_assumptions'!AH$12/'1_MODEL_assumptions'!$G$5)*AH10</f>
        <v>0</v>
      </c>
    </row>
    <row r="27" spans="2:34" x14ac:dyDescent="0.2">
      <c r="D27" s="4"/>
      <c r="E27" s="4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2:34" x14ac:dyDescent="0.2">
      <c r="B28" s="1" t="s">
        <v>392</v>
      </c>
    </row>
    <row r="29" spans="2:34" x14ac:dyDescent="0.2">
      <c r="C29" s="1" t="s">
        <v>208</v>
      </c>
    </row>
    <row r="30" spans="2:34" x14ac:dyDescent="0.2">
      <c r="D30" s="4" t="s">
        <v>213</v>
      </c>
      <c r="E30" s="4" t="s">
        <v>138</v>
      </c>
      <c r="I30" s="12">
        <f t="shared" ref="I30:AG30" si="8">I13</f>
        <v>578539.284032</v>
      </c>
      <c r="J30" s="12">
        <f t="shared" si="8"/>
        <v>849729.57342199993</v>
      </c>
      <c r="K30" s="12">
        <f t="shared" si="8"/>
        <v>1120919.8628119999</v>
      </c>
      <c r="L30" s="12">
        <f t="shared" si="8"/>
        <v>1392110.1522019999</v>
      </c>
      <c r="M30" s="12">
        <f t="shared" si="8"/>
        <v>1663300.441592</v>
      </c>
      <c r="N30" s="12">
        <f t="shared" si="8"/>
        <v>1547592.5847856</v>
      </c>
      <c r="O30" s="12">
        <f t="shared" si="8"/>
        <v>1764544.8162975998</v>
      </c>
      <c r="P30" s="12">
        <f t="shared" si="8"/>
        <v>2476871.3097620001</v>
      </c>
      <c r="Q30" s="12">
        <f t="shared" si="8"/>
        <v>2748061.5991520006</v>
      </c>
      <c r="R30" s="12">
        <f t="shared" si="8"/>
        <v>3019251.8885420007</v>
      </c>
      <c r="S30" s="12">
        <f t="shared" si="8"/>
        <v>3290442.1779320007</v>
      </c>
      <c r="T30" s="12">
        <f t="shared" si="8"/>
        <v>3561632.4673220012</v>
      </c>
      <c r="U30" s="12">
        <f t="shared" si="8"/>
        <v>3832822.7567120013</v>
      </c>
      <c r="V30" s="12">
        <f t="shared" si="8"/>
        <v>4104013.0461020013</v>
      </c>
      <c r="W30" s="12">
        <f t="shared" si="8"/>
        <v>4375203.3354920009</v>
      </c>
      <c r="X30" s="12">
        <f t="shared" si="8"/>
        <v>4646393.6248820024</v>
      </c>
      <c r="Y30" s="12">
        <f t="shared" si="8"/>
        <v>4917583.9142720019</v>
      </c>
      <c r="Z30" s="12">
        <f t="shared" si="8"/>
        <v>5188774.2036620015</v>
      </c>
      <c r="AA30" s="12">
        <f t="shared" si="8"/>
        <v>5459964.493052002</v>
      </c>
      <c r="AB30" s="12">
        <f t="shared" si="8"/>
        <v>5731154.7824420026</v>
      </c>
      <c r="AC30" s="12">
        <f t="shared" si="8"/>
        <v>6002345.0718320031</v>
      </c>
      <c r="AD30" s="12">
        <f t="shared" si="8"/>
        <v>6273535.3612220027</v>
      </c>
      <c r="AE30" s="12">
        <f t="shared" si="8"/>
        <v>6544725.6506120032</v>
      </c>
      <c r="AF30" s="12">
        <f t="shared" si="8"/>
        <v>6815915.9400020046</v>
      </c>
      <c r="AG30" s="12">
        <f t="shared" si="8"/>
        <v>7087106.2293920042</v>
      </c>
      <c r="AH30" s="12">
        <f t="shared" ref="AH30" si="9">AH13</f>
        <v>7358296.5187820038</v>
      </c>
    </row>
    <row r="31" spans="2:34" x14ac:dyDescent="0.2">
      <c r="D31" s="4" t="s">
        <v>214</v>
      </c>
      <c r="E31" s="4" t="s">
        <v>138</v>
      </c>
      <c r="I31" s="12">
        <f t="shared" ref="I31:AG31" si="10">I14</f>
        <v>421851.57766399998</v>
      </c>
      <c r="J31" s="12">
        <f t="shared" si="10"/>
        <v>619594.504694</v>
      </c>
      <c r="K31" s="12">
        <f t="shared" si="10"/>
        <v>817337.43172400002</v>
      </c>
      <c r="L31" s="12">
        <f t="shared" si="10"/>
        <v>1015080.3587539999</v>
      </c>
      <c r="M31" s="12">
        <f t="shared" si="10"/>
        <v>1212823.2857840001</v>
      </c>
      <c r="N31" s="12">
        <f t="shared" si="10"/>
        <v>1128452.9702512</v>
      </c>
      <c r="O31" s="12">
        <f t="shared" si="10"/>
        <v>1286647.3118752001</v>
      </c>
      <c r="P31" s="12">
        <f t="shared" si="10"/>
        <v>1806052.0668740002</v>
      </c>
      <c r="Q31" s="12">
        <f t="shared" si="10"/>
        <v>2003794.9939040006</v>
      </c>
      <c r="R31" s="12">
        <f t="shared" si="10"/>
        <v>2201537.9209340005</v>
      </c>
      <c r="S31" s="12">
        <f t="shared" si="10"/>
        <v>2399280.8479640004</v>
      </c>
      <c r="T31" s="12">
        <f t="shared" si="10"/>
        <v>2597023.7749940008</v>
      </c>
      <c r="U31" s="12">
        <f t="shared" si="10"/>
        <v>2794766.7020240012</v>
      </c>
      <c r="V31" s="12">
        <f t="shared" si="10"/>
        <v>2992509.6290540011</v>
      </c>
      <c r="W31" s="12">
        <f t="shared" si="10"/>
        <v>3190252.5560840014</v>
      </c>
      <c r="X31" s="12">
        <f t="shared" si="10"/>
        <v>3387995.4831140018</v>
      </c>
      <c r="Y31" s="12">
        <f t="shared" si="10"/>
        <v>3585738.4101440017</v>
      </c>
      <c r="Z31" s="12">
        <f t="shared" si="10"/>
        <v>3783481.3371740016</v>
      </c>
      <c r="AA31" s="12">
        <f t="shared" si="10"/>
        <v>3981224.2642040015</v>
      </c>
      <c r="AB31" s="12">
        <f t="shared" si="10"/>
        <v>4178967.1912340024</v>
      </c>
      <c r="AC31" s="12">
        <f t="shared" si="10"/>
        <v>4376710.1182640027</v>
      </c>
      <c r="AD31" s="12">
        <f t="shared" si="10"/>
        <v>4574453.0452940026</v>
      </c>
      <c r="AE31" s="12">
        <f t="shared" si="10"/>
        <v>4772195.9723240035</v>
      </c>
      <c r="AF31" s="12">
        <f t="shared" si="10"/>
        <v>4969938.8993540034</v>
      </c>
      <c r="AG31" s="12">
        <f t="shared" si="10"/>
        <v>5167681.8263840033</v>
      </c>
      <c r="AH31" s="12">
        <f t="shared" ref="AH31" si="11">AH14</f>
        <v>5365424.7534140041</v>
      </c>
    </row>
    <row r="32" spans="2:34" x14ac:dyDescent="0.2">
      <c r="D32" s="4"/>
      <c r="E32" s="4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2:34" x14ac:dyDescent="0.2">
      <c r="D33" s="4" t="s">
        <v>215</v>
      </c>
      <c r="E33" s="4" t="s">
        <v>138</v>
      </c>
      <c r="I33" s="12">
        <f>SUM(I30:I32)</f>
        <v>1000390.861696</v>
      </c>
      <c r="J33" s="12">
        <f t="shared" ref="J33:AG33" si="12">SUM(J30:J32)</f>
        <v>1469324.0781159999</v>
      </c>
      <c r="K33" s="12">
        <f t="shared" si="12"/>
        <v>1938257.2945359999</v>
      </c>
      <c r="L33" s="12">
        <f t="shared" si="12"/>
        <v>2407190.5109559996</v>
      </c>
      <c r="M33" s="12">
        <f t="shared" si="12"/>
        <v>2876123.727376</v>
      </c>
      <c r="N33" s="12">
        <f t="shared" si="12"/>
        <v>2676045.5550368</v>
      </c>
      <c r="O33" s="12">
        <f t="shared" si="12"/>
        <v>3051192.1281727999</v>
      </c>
      <c r="P33" s="12">
        <f t="shared" si="12"/>
        <v>4282923.3766360004</v>
      </c>
      <c r="Q33" s="12">
        <f t="shared" si="12"/>
        <v>4751856.5930560008</v>
      </c>
      <c r="R33" s="12">
        <f t="shared" si="12"/>
        <v>5220789.8094760012</v>
      </c>
      <c r="S33" s="12">
        <f t="shared" si="12"/>
        <v>5689723.0258960016</v>
      </c>
      <c r="T33" s="12">
        <f t="shared" si="12"/>
        <v>6158656.242316002</v>
      </c>
      <c r="U33" s="12">
        <f t="shared" si="12"/>
        <v>6627589.4587360024</v>
      </c>
      <c r="V33" s="12">
        <f t="shared" si="12"/>
        <v>7096522.6751560029</v>
      </c>
      <c r="W33" s="12">
        <f t="shared" si="12"/>
        <v>7565455.8915760024</v>
      </c>
      <c r="X33" s="12">
        <f t="shared" si="12"/>
        <v>8034389.1079960037</v>
      </c>
      <c r="Y33" s="12">
        <f t="shared" si="12"/>
        <v>8503322.3244160041</v>
      </c>
      <c r="Z33" s="12">
        <f t="shared" si="12"/>
        <v>8972255.5408360027</v>
      </c>
      <c r="AA33" s="12">
        <f t="shared" si="12"/>
        <v>9441188.7572560031</v>
      </c>
      <c r="AB33" s="12">
        <f t="shared" si="12"/>
        <v>9910121.9736760054</v>
      </c>
      <c r="AC33" s="12">
        <f t="shared" si="12"/>
        <v>10379055.190096006</v>
      </c>
      <c r="AD33" s="12">
        <f t="shared" si="12"/>
        <v>10847988.406516004</v>
      </c>
      <c r="AE33" s="12">
        <f t="shared" si="12"/>
        <v>11316921.622936007</v>
      </c>
      <c r="AF33" s="12">
        <f t="shared" si="12"/>
        <v>11785854.839356009</v>
      </c>
      <c r="AG33" s="12">
        <f t="shared" si="12"/>
        <v>12254788.055776007</v>
      </c>
      <c r="AH33" s="12">
        <f t="shared" ref="AH33" si="13">SUM(AH30:AH32)</f>
        <v>12723721.272196008</v>
      </c>
    </row>
    <row r="35" spans="2:34" x14ac:dyDescent="0.2">
      <c r="C35" s="1" t="s">
        <v>433</v>
      </c>
    </row>
    <row r="36" spans="2:34" x14ac:dyDescent="0.2">
      <c r="D36" s="4" t="s">
        <v>213</v>
      </c>
      <c r="E36" s="4" t="s">
        <v>138</v>
      </c>
      <c r="I36" s="12">
        <f t="shared" ref="I36:AG36" si="14">I21</f>
        <v>0</v>
      </c>
      <c r="J36" s="12">
        <f t="shared" si="14"/>
        <v>0</v>
      </c>
      <c r="K36" s="12">
        <f t="shared" si="14"/>
        <v>0</v>
      </c>
      <c r="L36" s="12">
        <f t="shared" si="14"/>
        <v>0</v>
      </c>
      <c r="M36" s="12">
        <f t="shared" si="14"/>
        <v>0</v>
      </c>
      <c r="N36" s="12">
        <f t="shared" si="14"/>
        <v>0</v>
      </c>
      <c r="O36" s="12">
        <f t="shared" si="14"/>
        <v>0</v>
      </c>
      <c r="P36" s="12">
        <f t="shared" si="14"/>
        <v>0</v>
      </c>
      <c r="Q36" s="12">
        <f t="shared" si="14"/>
        <v>0</v>
      </c>
      <c r="R36" s="12">
        <f t="shared" si="14"/>
        <v>0</v>
      </c>
      <c r="S36" s="12">
        <f t="shared" si="14"/>
        <v>0</v>
      </c>
      <c r="T36" s="12">
        <f t="shared" si="14"/>
        <v>0</v>
      </c>
      <c r="U36" s="12">
        <f t="shared" si="14"/>
        <v>0</v>
      </c>
      <c r="V36" s="12">
        <f t="shared" si="14"/>
        <v>0</v>
      </c>
      <c r="W36" s="12">
        <f t="shared" si="14"/>
        <v>0</v>
      </c>
      <c r="X36" s="12">
        <f t="shared" si="14"/>
        <v>0</v>
      </c>
      <c r="Y36" s="12">
        <f t="shared" si="14"/>
        <v>0</v>
      </c>
      <c r="Z36" s="12">
        <f t="shared" si="14"/>
        <v>0</v>
      </c>
      <c r="AA36" s="12">
        <f t="shared" si="14"/>
        <v>0</v>
      </c>
      <c r="AB36" s="12">
        <f t="shared" si="14"/>
        <v>0</v>
      </c>
      <c r="AC36" s="12">
        <f t="shared" si="14"/>
        <v>0</v>
      </c>
      <c r="AD36" s="12">
        <f t="shared" si="14"/>
        <v>0</v>
      </c>
      <c r="AE36" s="12">
        <f t="shared" si="14"/>
        <v>0</v>
      </c>
      <c r="AF36" s="12">
        <f t="shared" si="14"/>
        <v>0</v>
      </c>
      <c r="AG36" s="12">
        <f t="shared" si="14"/>
        <v>0</v>
      </c>
      <c r="AH36" s="12">
        <f t="shared" ref="AH36" si="15">AH21</f>
        <v>0</v>
      </c>
    </row>
    <row r="37" spans="2:34" x14ac:dyDescent="0.2">
      <c r="D37" s="4" t="s">
        <v>214</v>
      </c>
      <c r="E37" s="4" t="s">
        <v>138</v>
      </c>
      <c r="I37" s="12">
        <f t="shared" ref="I37:AG37" si="16">I22</f>
        <v>0</v>
      </c>
      <c r="J37" s="12">
        <f t="shared" si="16"/>
        <v>0</v>
      </c>
      <c r="K37" s="12">
        <f t="shared" si="16"/>
        <v>0</v>
      </c>
      <c r="L37" s="12">
        <f t="shared" si="16"/>
        <v>0</v>
      </c>
      <c r="M37" s="12">
        <f t="shared" si="16"/>
        <v>0</v>
      </c>
      <c r="N37" s="12">
        <f t="shared" si="16"/>
        <v>0</v>
      </c>
      <c r="O37" s="12">
        <f t="shared" si="16"/>
        <v>0</v>
      </c>
      <c r="P37" s="12">
        <f t="shared" si="16"/>
        <v>0</v>
      </c>
      <c r="Q37" s="12">
        <f t="shared" si="16"/>
        <v>0</v>
      </c>
      <c r="R37" s="12">
        <f t="shared" si="16"/>
        <v>0</v>
      </c>
      <c r="S37" s="12">
        <f t="shared" si="16"/>
        <v>0</v>
      </c>
      <c r="T37" s="12">
        <f t="shared" si="16"/>
        <v>0</v>
      </c>
      <c r="U37" s="12">
        <f t="shared" si="16"/>
        <v>0</v>
      </c>
      <c r="V37" s="12">
        <f t="shared" si="16"/>
        <v>0</v>
      </c>
      <c r="W37" s="12">
        <f t="shared" si="16"/>
        <v>0</v>
      </c>
      <c r="X37" s="12">
        <f t="shared" si="16"/>
        <v>0</v>
      </c>
      <c r="Y37" s="12">
        <f t="shared" si="16"/>
        <v>0</v>
      </c>
      <c r="Z37" s="12">
        <f t="shared" si="16"/>
        <v>0</v>
      </c>
      <c r="AA37" s="12">
        <f t="shared" si="16"/>
        <v>0</v>
      </c>
      <c r="AB37" s="12">
        <f t="shared" si="16"/>
        <v>0</v>
      </c>
      <c r="AC37" s="12">
        <f t="shared" si="16"/>
        <v>0</v>
      </c>
      <c r="AD37" s="12">
        <f t="shared" si="16"/>
        <v>0</v>
      </c>
      <c r="AE37" s="12">
        <f t="shared" si="16"/>
        <v>0</v>
      </c>
      <c r="AF37" s="12">
        <f t="shared" si="16"/>
        <v>0</v>
      </c>
      <c r="AG37" s="12">
        <f t="shared" si="16"/>
        <v>0</v>
      </c>
      <c r="AH37" s="12">
        <f t="shared" ref="AH37" si="17">AH22</f>
        <v>0</v>
      </c>
    </row>
    <row r="38" spans="2:34" x14ac:dyDescent="0.2">
      <c r="D38" s="4"/>
      <c r="E38" s="4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2:34" x14ac:dyDescent="0.2">
      <c r="D39" s="4" t="s">
        <v>215</v>
      </c>
      <c r="E39" s="4" t="s">
        <v>138</v>
      </c>
      <c r="I39" s="12">
        <f t="shared" ref="I39:AG39" si="18">SUM(I36:I38)</f>
        <v>0</v>
      </c>
      <c r="J39" s="12">
        <f t="shared" si="18"/>
        <v>0</v>
      </c>
      <c r="K39" s="12">
        <f t="shared" si="18"/>
        <v>0</v>
      </c>
      <c r="L39" s="12">
        <f t="shared" si="18"/>
        <v>0</v>
      </c>
      <c r="M39" s="12">
        <f t="shared" si="18"/>
        <v>0</v>
      </c>
      <c r="N39" s="12">
        <f t="shared" si="18"/>
        <v>0</v>
      </c>
      <c r="O39" s="12">
        <f t="shared" si="18"/>
        <v>0</v>
      </c>
      <c r="P39" s="12">
        <f t="shared" si="18"/>
        <v>0</v>
      </c>
      <c r="Q39" s="12">
        <f t="shared" si="18"/>
        <v>0</v>
      </c>
      <c r="R39" s="12">
        <f t="shared" si="18"/>
        <v>0</v>
      </c>
      <c r="S39" s="12">
        <f t="shared" si="18"/>
        <v>0</v>
      </c>
      <c r="T39" s="12">
        <f t="shared" si="18"/>
        <v>0</v>
      </c>
      <c r="U39" s="12">
        <f t="shared" si="18"/>
        <v>0</v>
      </c>
      <c r="V39" s="12">
        <f t="shared" si="18"/>
        <v>0</v>
      </c>
      <c r="W39" s="12">
        <f t="shared" si="18"/>
        <v>0</v>
      </c>
      <c r="X39" s="12">
        <f t="shared" si="18"/>
        <v>0</v>
      </c>
      <c r="Y39" s="12">
        <f t="shared" si="18"/>
        <v>0</v>
      </c>
      <c r="Z39" s="12">
        <f t="shared" si="18"/>
        <v>0</v>
      </c>
      <c r="AA39" s="12">
        <f t="shared" si="18"/>
        <v>0</v>
      </c>
      <c r="AB39" s="12">
        <f t="shared" si="18"/>
        <v>0</v>
      </c>
      <c r="AC39" s="12">
        <f t="shared" si="18"/>
        <v>0</v>
      </c>
      <c r="AD39" s="12">
        <f t="shared" si="18"/>
        <v>0</v>
      </c>
      <c r="AE39" s="12">
        <f t="shared" si="18"/>
        <v>0</v>
      </c>
      <c r="AF39" s="12">
        <f t="shared" si="18"/>
        <v>0</v>
      </c>
      <c r="AG39" s="12">
        <f t="shared" si="18"/>
        <v>0</v>
      </c>
      <c r="AH39" s="12">
        <f t="shared" ref="AH39" si="19">SUM(AH36:AH38)</f>
        <v>0</v>
      </c>
    </row>
    <row r="40" spans="2:34" x14ac:dyDescent="0.2">
      <c r="B40" s="1"/>
    </row>
    <row r="41" spans="2:34" x14ac:dyDescent="0.2">
      <c r="C41" s="1" t="s">
        <v>434</v>
      </c>
      <c r="G41" t="s">
        <v>228</v>
      </c>
    </row>
    <row r="42" spans="2:34" x14ac:dyDescent="0.2">
      <c r="D42" s="4" t="s">
        <v>215</v>
      </c>
      <c r="E42" s="4" t="s">
        <v>138</v>
      </c>
      <c r="G42" s="12">
        <f>SUM(I42:AH42)</f>
        <v>176981648.31979364</v>
      </c>
      <c r="I42" s="12">
        <f t="shared" ref="I42:AG42" si="20">I39+I33</f>
        <v>1000390.861696</v>
      </c>
      <c r="J42" s="12">
        <f t="shared" si="20"/>
        <v>1469324.0781159999</v>
      </c>
      <c r="K42" s="12">
        <f t="shared" si="20"/>
        <v>1938257.2945359999</v>
      </c>
      <c r="L42" s="12">
        <f t="shared" si="20"/>
        <v>2407190.5109559996</v>
      </c>
      <c r="M42" s="12">
        <f t="shared" si="20"/>
        <v>2876123.727376</v>
      </c>
      <c r="N42" s="12">
        <f t="shared" si="20"/>
        <v>2676045.5550368</v>
      </c>
      <c r="O42" s="12">
        <f t="shared" si="20"/>
        <v>3051192.1281727999</v>
      </c>
      <c r="P42" s="12">
        <f t="shared" si="20"/>
        <v>4282923.3766360004</v>
      </c>
      <c r="Q42" s="12">
        <f t="shared" si="20"/>
        <v>4751856.5930560008</v>
      </c>
      <c r="R42" s="12">
        <f t="shared" si="20"/>
        <v>5220789.8094760012</v>
      </c>
      <c r="S42" s="12">
        <f t="shared" si="20"/>
        <v>5689723.0258960016</v>
      </c>
      <c r="T42" s="12">
        <f t="shared" si="20"/>
        <v>6158656.242316002</v>
      </c>
      <c r="U42" s="12">
        <f t="shared" si="20"/>
        <v>6627589.4587360024</v>
      </c>
      <c r="V42" s="12">
        <f t="shared" si="20"/>
        <v>7096522.6751560029</v>
      </c>
      <c r="W42" s="12">
        <f t="shared" si="20"/>
        <v>7565455.8915760024</v>
      </c>
      <c r="X42" s="12">
        <f t="shared" si="20"/>
        <v>8034389.1079960037</v>
      </c>
      <c r="Y42" s="12">
        <f t="shared" si="20"/>
        <v>8503322.3244160041</v>
      </c>
      <c r="Z42" s="12">
        <f t="shared" si="20"/>
        <v>8972255.5408360027</v>
      </c>
      <c r="AA42" s="12">
        <f t="shared" si="20"/>
        <v>9441188.7572560031</v>
      </c>
      <c r="AB42" s="12">
        <f t="shared" si="20"/>
        <v>9910121.9736760054</v>
      </c>
      <c r="AC42" s="12">
        <f t="shared" si="20"/>
        <v>10379055.190096006</v>
      </c>
      <c r="AD42" s="12">
        <f t="shared" si="20"/>
        <v>10847988.406516004</v>
      </c>
      <c r="AE42" s="12">
        <f t="shared" si="20"/>
        <v>11316921.622936007</v>
      </c>
      <c r="AF42" s="12">
        <f t="shared" si="20"/>
        <v>11785854.839356009</v>
      </c>
      <c r="AG42" s="12">
        <f t="shared" si="20"/>
        <v>12254788.055776007</v>
      </c>
      <c r="AH42" s="12">
        <f t="shared" ref="AH42" si="21">AH39+AH33</f>
        <v>12723721.272196008</v>
      </c>
    </row>
    <row r="43" spans="2:34" x14ac:dyDescent="0.2">
      <c r="D43" s="4" t="s">
        <v>216</v>
      </c>
      <c r="E43" s="4" t="s">
        <v>217</v>
      </c>
      <c r="F43" t="s">
        <v>225</v>
      </c>
      <c r="G43" s="24">
        <f>SUM(I43:AH43)</f>
        <v>297584306.36164314</v>
      </c>
      <c r="J43" s="24">
        <f t="shared" ref="J43:AG43" si="22">J42*truckcostpermile</f>
        <v>2484627.0160941561</v>
      </c>
      <c r="K43" s="24">
        <f t="shared" si="22"/>
        <v>3277593.0850603757</v>
      </c>
      <c r="L43" s="24">
        <f t="shared" si="22"/>
        <v>4070559.1540265954</v>
      </c>
      <c r="M43" s="24">
        <f t="shared" si="22"/>
        <v>4863525.222992816</v>
      </c>
      <c r="N43" s="24">
        <f t="shared" si="22"/>
        <v>4525193.0335672293</v>
      </c>
      <c r="O43" s="24">
        <f t="shared" si="22"/>
        <v>5159565.8887402052</v>
      </c>
      <c r="P43" s="24">
        <f t="shared" si="22"/>
        <v>7242423.4298914764</v>
      </c>
      <c r="Q43" s="24">
        <f t="shared" si="22"/>
        <v>8035389.4988576975</v>
      </c>
      <c r="R43" s="24">
        <f t="shared" si="22"/>
        <v>8828355.5678239185</v>
      </c>
      <c r="S43" s="24">
        <f t="shared" si="22"/>
        <v>9621321.6367901396</v>
      </c>
      <c r="T43" s="24">
        <f t="shared" si="22"/>
        <v>10414287.705756361</v>
      </c>
      <c r="U43" s="24">
        <f t="shared" si="22"/>
        <v>11207253.77472258</v>
      </c>
      <c r="V43" s="24">
        <f t="shared" si="22"/>
        <v>12000219.843688801</v>
      </c>
      <c r="W43" s="24">
        <f t="shared" si="22"/>
        <v>12793185.91265502</v>
      </c>
      <c r="X43" s="24">
        <f t="shared" si="22"/>
        <v>13586151.981621243</v>
      </c>
      <c r="Y43" s="24">
        <f t="shared" si="22"/>
        <v>14379118.050587464</v>
      </c>
      <c r="Z43" s="24">
        <f t="shared" si="22"/>
        <v>15172084.119553681</v>
      </c>
      <c r="AA43" s="24">
        <f t="shared" si="22"/>
        <v>15965050.188519903</v>
      </c>
      <c r="AB43" s="24">
        <f t="shared" si="22"/>
        <v>16758016.257486125</v>
      </c>
      <c r="AC43" s="24">
        <f t="shared" si="22"/>
        <v>17550982.326452345</v>
      </c>
      <c r="AD43" s="24">
        <f t="shared" si="22"/>
        <v>18343948.395418566</v>
      </c>
      <c r="AE43" s="24">
        <f t="shared" si="22"/>
        <v>19136914.464384787</v>
      </c>
      <c r="AF43" s="24">
        <f t="shared" si="22"/>
        <v>19929880.533351012</v>
      </c>
      <c r="AG43" s="24">
        <f t="shared" si="22"/>
        <v>20722846.602317229</v>
      </c>
      <c r="AH43" s="24">
        <f t="shared" ref="AH43" si="23">AH42*truckcostpermile</f>
        <v>21515812.67128345</v>
      </c>
    </row>
    <row r="44" spans="2:34" s="42" customFormat="1" x14ac:dyDescent="0.2">
      <c r="D44" s="43" t="s">
        <v>227</v>
      </c>
      <c r="F44" s="42" t="s">
        <v>229</v>
      </c>
      <c r="G44" s="59">
        <f>SUM(H44:AH44)</f>
        <v>107121732.59495288</v>
      </c>
      <c r="I44" s="44">
        <f>I43/'1_MODEL_assumptions'!I$36</f>
        <v>0</v>
      </c>
      <c r="J44" s="45">
        <f>J43/'1_MODEL_assumptions'!J$36</f>
        <v>2322081.323452482</v>
      </c>
      <c r="K44" s="45">
        <f>K43/'1_MODEL_assumptions'!K$36</f>
        <v>2862776.7360122069</v>
      </c>
      <c r="L44" s="45">
        <f>L43/'1_MODEL_assumptions'!L$36</f>
        <v>3322788.7951905322</v>
      </c>
      <c r="M44" s="45">
        <f>M43/'1_MODEL_assumptions'!M$36</f>
        <v>3710360.1062935917</v>
      </c>
      <c r="N44" s="45">
        <f>N43/'1_MODEL_assumptions'!N$36</f>
        <v>3226400.0924292104</v>
      </c>
      <c r="O44" s="45">
        <f>O43/'1_MODEL_assumptions'!O$36</f>
        <v>3438036.6082309694</v>
      </c>
      <c r="P44" s="45">
        <f>P43/'1_MODEL_assumptions'!P$36</f>
        <v>4510217.3215838317</v>
      </c>
      <c r="Q44" s="45">
        <f>Q43/'1_MODEL_assumptions'!Q$36</f>
        <v>4676669.8470614813</v>
      </c>
      <c r="R44" s="45">
        <f>R43/'1_MODEL_assumptions'!R$36</f>
        <v>4802040.484870065</v>
      </c>
      <c r="S44" s="45">
        <f>S43/'1_MODEL_assumptions'!S$36</f>
        <v>4890992.0434627123</v>
      </c>
      <c r="T44" s="45">
        <f>T43/'1_MODEL_assumptions'!T$36</f>
        <v>4947753.0685126539</v>
      </c>
      <c r="U44" s="45">
        <f>U43/'1_MODEL_assumptions'!U$36</f>
        <v>4976154.706222699</v>
      </c>
      <c r="V44" s="45">
        <f>V43/'1_MODEL_assumptions'!V$36</f>
        <v>4979664.6019773968</v>
      </c>
      <c r="W44" s="45">
        <f>W43/'1_MODEL_assumptions'!W$36</f>
        <v>4961418.0644675773</v>
      </c>
      <c r="X44" s="45">
        <f>X43/'1_MODEL_assumptions'!X$36</f>
        <v>4924246.7079947768</v>
      </c>
      <c r="Y44" s="45">
        <f>Y43/'1_MODEL_assumptions'!Y$36</f>
        <v>4870704.7695355453</v>
      </c>
      <c r="Z44" s="45">
        <f>Z43/'1_MODEL_assumptions'!Z$36</f>
        <v>4803093.2822179124</v>
      </c>
      <c r="AA44" s="45">
        <f>AA43/'1_MODEL_assumptions'!AA$36</f>
        <v>4723482.2730463687</v>
      </c>
      <c r="AB44" s="45">
        <f>AB43/'1_MODEL_assumptions'!AB$36</f>
        <v>4633731.1399260359</v>
      </c>
      <c r="AC44" s="45">
        <f>AC43/'1_MODEL_assumptions'!AC$36</f>
        <v>4535507.3512056479</v>
      </c>
      <c r="AD44" s="45">
        <f>AD43/'1_MODEL_assumptions'!AD$36</f>
        <v>4430303.6000122735</v>
      </c>
      <c r="AE44" s="45">
        <f>AE43/'1_MODEL_assumptions'!AE$36</f>
        <v>4319453.5355232917</v>
      </c>
      <c r="AF44" s="45">
        <f>AF43/'1_MODEL_assumptions'!AF$36</f>
        <v>4204146.1839528093</v>
      </c>
      <c r="AG44" s="45">
        <f>AG43/'1_MODEL_assumptions'!AG$36</f>
        <v>4085439.1633642404</v>
      </c>
      <c r="AH44" s="45">
        <f>AH43/'1_MODEL_assumptions'!AH$36</f>
        <v>3964270.788406556</v>
      </c>
    </row>
    <row r="46" spans="2:34" x14ac:dyDescent="0.2">
      <c r="C46" s="1" t="s">
        <v>219</v>
      </c>
    </row>
    <row r="47" spans="2:34" x14ac:dyDescent="0.2">
      <c r="D47" s="4" t="s">
        <v>220</v>
      </c>
      <c r="E47" s="4" t="s">
        <v>138</v>
      </c>
      <c r="I47" s="12">
        <f t="shared" ref="I47:AG47" si="24">I16</f>
        <v>338180.87513599999</v>
      </c>
      <c r="J47" s="12">
        <f t="shared" si="24"/>
        <v>496703.16035599995</v>
      </c>
      <c r="K47" s="12">
        <f t="shared" si="24"/>
        <v>655225.44557599991</v>
      </c>
      <c r="L47" s="12">
        <f t="shared" si="24"/>
        <v>813747.73079599999</v>
      </c>
      <c r="M47" s="12">
        <f t="shared" si="24"/>
        <v>972270.01601600007</v>
      </c>
      <c r="N47" s="12">
        <f t="shared" si="24"/>
        <v>904633.84098879993</v>
      </c>
      <c r="O47" s="12">
        <f t="shared" si="24"/>
        <v>1031451.6691648</v>
      </c>
      <c r="P47" s="12">
        <f t="shared" si="24"/>
        <v>1447836.8716760001</v>
      </c>
      <c r="Q47" s="12">
        <f t="shared" si="24"/>
        <v>1606359.1568960003</v>
      </c>
      <c r="R47" s="12">
        <f t="shared" si="24"/>
        <v>1764881.4421160007</v>
      </c>
      <c r="S47" s="12">
        <f t="shared" si="24"/>
        <v>1923403.7273360002</v>
      </c>
      <c r="T47" s="12">
        <f t="shared" si="24"/>
        <v>2081926.0125560006</v>
      </c>
      <c r="U47" s="12">
        <f t="shared" si="24"/>
        <v>2240448.297776001</v>
      </c>
      <c r="V47" s="12">
        <f t="shared" si="24"/>
        <v>2398970.582996001</v>
      </c>
      <c r="W47" s="12">
        <f t="shared" si="24"/>
        <v>2557492.868216001</v>
      </c>
      <c r="X47" s="12">
        <f t="shared" si="24"/>
        <v>2716015.1534360014</v>
      </c>
      <c r="Y47" s="12">
        <f t="shared" si="24"/>
        <v>2874537.4386560014</v>
      </c>
      <c r="Z47" s="12">
        <f t="shared" si="24"/>
        <v>3033059.7238760013</v>
      </c>
      <c r="AA47" s="12">
        <f t="shared" si="24"/>
        <v>3191582.0090960013</v>
      </c>
      <c r="AB47" s="12">
        <f t="shared" si="24"/>
        <v>3350104.2943160017</v>
      </c>
      <c r="AC47" s="12">
        <f t="shared" si="24"/>
        <v>3508626.5795360021</v>
      </c>
      <c r="AD47" s="12">
        <f t="shared" si="24"/>
        <v>3667148.8647560021</v>
      </c>
      <c r="AE47" s="12">
        <f t="shared" si="24"/>
        <v>3825671.1499760021</v>
      </c>
      <c r="AF47" s="12">
        <f t="shared" si="24"/>
        <v>3984193.435196002</v>
      </c>
      <c r="AG47" s="12">
        <f t="shared" si="24"/>
        <v>4142715.720416002</v>
      </c>
      <c r="AH47" s="12">
        <f t="shared" ref="AH47" si="25">AH16</f>
        <v>4301238.0056360029</v>
      </c>
    </row>
    <row r="48" spans="2:34" x14ac:dyDescent="0.2">
      <c r="D48" s="4" t="s">
        <v>221</v>
      </c>
      <c r="E48" s="4" t="s">
        <v>138</v>
      </c>
      <c r="I48" s="12">
        <f t="shared" ref="I48:AG48" si="26">I17</f>
        <v>246590.20937599998</v>
      </c>
      <c r="J48" s="12">
        <f t="shared" si="26"/>
        <v>362179.37002099998</v>
      </c>
      <c r="K48" s="12">
        <f t="shared" si="26"/>
        <v>477768.53066599992</v>
      </c>
      <c r="L48" s="12">
        <f t="shared" si="26"/>
        <v>593357.69131099992</v>
      </c>
      <c r="M48" s="12">
        <f t="shared" si="26"/>
        <v>708946.85195599997</v>
      </c>
      <c r="N48" s="12">
        <f t="shared" si="26"/>
        <v>659628.81008079997</v>
      </c>
      <c r="O48" s="12">
        <f t="shared" si="26"/>
        <v>752100.13859679992</v>
      </c>
      <c r="P48" s="12">
        <f t="shared" si="26"/>
        <v>1055714.3338910001</v>
      </c>
      <c r="Q48" s="12">
        <f t="shared" si="26"/>
        <v>1171303.4945360001</v>
      </c>
      <c r="R48" s="12">
        <f t="shared" si="26"/>
        <v>1286892.6551810002</v>
      </c>
      <c r="S48" s="12">
        <f t="shared" si="26"/>
        <v>1402481.8158260002</v>
      </c>
      <c r="T48" s="12">
        <f t="shared" si="26"/>
        <v>1518070.9764710004</v>
      </c>
      <c r="U48" s="12">
        <f t="shared" si="26"/>
        <v>1633660.1371160005</v>
      </c>
      <c r="V48" s="12">
        <f t="shared" si="26"/>
        <v>1749249.2977610007</v>
      </c>
      <c r="W48" s="12">
        <f t="shared" si="26"/>
        <v>1864838.4584060006</v>
      </c>
      <c r="X48" s="12">
        <f t="shared" si="26"/>
        <v>1980427.619051001</v>
      </c>
      <c r="Y48" s="12">
        <f t="shared" si="26"/>
        <v>2096016.779696001</v>
      </c>
      <c r="Z48" s="12">
        <f t="shared" si="26"/>
        <v>2211605.9403410009</v>
      </c>
      <c r="AA48" s="12">
        <f t="shared" si="26"/>
        <v>2327195.1009860011</v>
      </c>
      <c r="AB48" s="12">
        <f t="shared" si="26"/>
        <v>2442784.2616310013</v>
      </c>
      <c r="AC48" s="12">
        <f t="shared" si="26"/>
        <v>2558373.4222760014</v>
      </c>
      <c r="AD48" s="12">
        <f t="shared" si="26"/>
        <v>2673962.5829210011</v>
      </c>
      <c r="AE48" s="12">
        <f t="shared" si="26"/>
        <v>2789551.7435660018</v>
      </c>
      <c r="AF48" s="12">
        <f t="shared" si="26"/>
        <v>2905140.9042110019</v>
      </c>
      <c r="AG48" s="12">
        <f t="shared" si="26"/>
        <v>3020730.0648560016</v>
      </c>
      <c r="AH48" s="12">
        <f t="shared" ref="AH48" si="27">AH17</f>
        <v>3136319.2255010023</v>
      </c>
    </row>
    <row r="49" spans="2:34" x14ac:dyDescent="0.2">
      <c r="D49" s="4" t="s">
        <v>222</v>
      </c>
      <c r="E49" s="4" t="s">
        <v>138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2:34" x14ac:dyDescent="0.2">
      <c r="D50" s="4" t="s">
        <v>223</v>
      </c>
      <c r="E50" s="4" t="s">
        <v>138</v>
      </c>
      <c r="I50" s="12">
        <f t="shared" ref="I50:AG50" si="28">SUM(I47:I49)</f>
        <v>584771.08451199997</v>
      </c>
      <c r="J50" s="12">
        <f t="shared" si="28"/>
        <v>858882.53037699987</v>
      </c>
      <c r="K50" s="12">
        <f t="shared" si="28"/>
        <v>1132993.9762419998</v>
      </c>
      <c r="L50" s="12">
        <f t="shared" si="28"/>
        <v>1407105.4221069999</v>
      </c>
      <c r="M50" s="12">
        <f t="shared" si="28"/>
        <v>1681216.867972</v>
      </c>
      <c r="N50" s="12">
        <f t="shared" si="28"/>
        <v>1564262.6510695999</v>
      </c>
      <c r="O50" s="12">
        <f t="shared" si="28"/>
        <v>1783551.8077615998</v>
      </c>
      <c r="P50" s="12">
        <f t="shared" si="28"/>
        <v>2503551.2055670004</v>
      </c>
      <c r="Q50" s="12">
        <f t="shared" si="28"/>
        <v>2777662.6514320001</v>
      </c>
      <c r="R50" s="12">
        <f t="shared" si="28"/>
        <v>3051774.0972970007</v>
      </c>
      <c r="S50" s="12">
        <f t="shared" si="28"/>
        <v>3325885.5431620004</v>
      </c>
      <c r="T50" s="12">
        <f t="shared" si="28"/>
        <v>3599996.989027001</v>
      </c>
      <c r="U50" s="12">
        <f t="shared" si="28"/>
        <v>3874108.4348920016</v>
      </c>
      <c r="V50" s="12">
        <f t="shared" si="28"/>
        <v>4148219.8807570017</v>
      </c>
      <c r="W50" s="12">
        <f t="shared" si="28"/>
        <v>4422331.3266220018</v>
      </c>
      <c r="X50" s="12">
        <f t="shared" si="28"/>
        <v>4696442.7724870024</v>
      </c>
      <c r="Y50" s="12">
        <f t="shared" si="28"/>
        <v>4970554.2183520021</v>
      </c>
      <c r="Z50" s="12">
        <f t="shared" si="28"/>
        <v>5244665.6642170027</v>
      </c>
      <c r="AA50" s="12">
        <f t="shared" si="28"/>
        <v>5518777.1100820024</v>
      </c>
      <c r="AB50" s="12">
        <f t="shared" si="28"/>
        <v>5792888.555947003</v>
      </c>
      <c r="AC50" s="12">
        <f t="shared" si="28"/>
        <v>6067000.0018120036</v>
      </c>
      <c r="AD50" s="12">
        <f t="shared" si="28"/>
        <v>6341111.4476770032</v>
      </c>
      <c r="AE50" s="12">
        <f t="shared" si="28"/>
        <v>6615222.8935420038</v>
      </c>
      <c r="AF50" s="12">
        <f t="shared" si="28"/>
        <v>6889334.3394070044</v>
      </c>
      <c r="AG50" s="12">
        <f t="shared" si="28"/>
        <v>7163445.7852720041</v>
      </c>
      <c r="AH50" s="12">
        <f t="shared" ref="AH50" si="29">SUM(AH47:AH49)</f>
        <v>7437557.2311370056</v>
      </c>
    </row>
    <row r="52" spans="2:34" x14ac:dyDescent="0.2">
      <c r="C52" s="1" t="s">
        <v>435</v>
      </c>
    </row>
    <row r="53" spans="2:34" x14ac:dyDescent="0.2">
      <c r="D53" s="4" t="s">
        <v>220</v>
      </c>
      <c r="E53" s="4" t="s">
        <v>138</v>
      </c>
      <c r="I53" s="12">
        <f t="shared" ref="I53:AG53" si="30">I24</f>
        <v>0</v>
      </c>
      <c r="J53" s="12">
        <f t="shared" si="30"/>
        <v>0</v>
      </c>
      <c r="K53" s="12">
        <f t="shared" si="30"/>
        <v>0</v>
      </c>
      <c r="L53" s="12">
        <f t="shared" si="30"/>
        <v>0</v>
      </c>
      <c r="M53" s="12">
        <f t="shared" si="30"/>
        <v>0</v>
      </c>
      <c r="N53" s="12">
        <f t="shared" si="30"/>
        <v>0</v>
      </c>
      <c r="O53" s="12">
        <f t="shared" si="30"/>
        <v>0</v>
      </c>
      <c r="P53" s="12">
        <f t="shared" si="30"/>
        <v>0</v>
      </c>
      <c r="Q53" s="12">
        <f t="shared" si="30"/>
        <v>0</v>
      </c>
      <c r="R53" s="12">
        <f t="shared" si="30"/>
        <v>0</v>
      </c>
      <c r="S53" s="12">
        <f t="shared" si="30"/>
        <v>0</v>
      </c>
      <c r="T53" s="12">
        <f t="shared" si="30"/>
        <v>0</v>
      </c>
      <c r="U53" s="12">
        <f t="shared" si="30"/>
        <v>0</v>
      </c>
      <c r="V53" s="12">
        <f t="shared" si="30"/>
        <v>0</v>
      </c>
      <c r="W53" s="12">
        <f t="shared" si="30"/>
        <v>0</v>
      </c>
      <c r="X53" s="12">
        <f t="shared" si="30"/>
        <v>0</v>
      </c>
      <c r="Y53" s="12">
        <f t="shared" si="30"/>
        <v>0</v>
      </c>
      <c r="Z53" s="12">
        <f t="shared" si="30"/>
        <v>0</v>
      </c>
      <c r="AA53" s="12">
        <f t="shared" si="30"/>
        <v>0</v>
      </c>
      <c r="AB53" s="12">
        <f t="shared" si="30"/>
        <v>0</v>
      </c>
      <c r="AC53" s="12">
        <f t="shared" si="30"/>
        <v>0</v>
      </c>
      <c r="AD53" s="12">
        <f t="shared" si="30"/>
        <v>0</v>
      </c>
      <c r="AE53" s="12">
        <f t="shared" si="30"/>
        <v>0</v>
      </c>
      <c r="AF53" s="12">
        <f t="shared" si="30"/>
        <v>0</v>
      </c>
      <c r="AG53" s="12">
        <f t="shared" si="30"/>
        <v>0</v>
      </c>
      <c r="AH53" s="12">
        <f t="shared" ref="AH53" si="31">AH24</f>
        <v>0</v>
      </c>
    </row>
    <row r="54" spans="2:34" x14ac:dyDescent="0.2">
      <c r="D54" s="4" t="s">
        <v>221</v>
      </c>
      <c r="E54" s="4" t="s">
        <v>138</v>
      </c>
      <c r="I54" s="12">
        <f t="shared" ref="I54:AG54" si="32">I25</f>
        <v>0</v>
      </c>
      <c r="J54" s="12">
        <f t="shared" si="32"/>
        <v>0</v>
      </c>
      <c r="K54" s="12">
        <f t="shared" si="32"/>
        <v>0</v>
      </c>
      <c r="L54" s="12">
        <f t="shared" si="32"/>
        <v>0</v>
      </c>
      <c r="M54" s="12">
        <f t="shared" si="32"/>
        <v>0</v>
      </c>
      <c r="N54" s="12">
        <f t="shared" si="32"/>
        <v>0</v>
      </c>
      <c r="O54" s="12">
        <f t="shared" si="32"/>
        <v>0</v>
      </c>
      <c r="P54" s="12">
        <f t="shared" si="32"/>
        <v>0</v>
      </c>
      <c r="Q54" s="12">
        <f t="shared" si="32"/>
        <v>0</v>
      </c>
      <c r="R54" s="12">
        <f t="shared" si="32"/>
        <v>0</v>
      </c>
      <c r="S54" s="12">
        <f t="shared" si="32"/>
        <v>0</v>
      </c>
      <c r="T54" s="12">
        <f t="shared" si="32"/>
        <v>0</v>
      </c>
      <c r="U54" s="12">
        <f t="shared" si="32"/>
        <v>0</v>
      </c>
      <c r="V54" s="12">
        <f t="shared" si="32"/>
        <v>0</v>
      </c>
      <c r="W54" s="12">
        <f t="shared" si="32"/>
        <v>0</v>
      </c>
      <c r="X54" s="12">
        <f t="shared" si="32"/>
        <v>0</v>
      </c>
      <c r="Y54" s="12">
        <f t="shared" si="32"/>
        <v>0</v>
      </c>
      <c r="Z54" s="12">
        <f t="shared" si="32"/>
        <v>0</v>
      </c>
      <c r="AA54" s="12">
        <f t="shared" si="32"/>
        <v>0</v>
      </c>
      <c r="AB54" s="12">
        <f t="shared" si="32"/>
        <v>0</v>
      </c>
      <c r="AC54" s="12">
        <f t="shared" si="32"/>
        <v>0</v>
      </c>
      <c r="AD54" s="12">
        <f t="shared" si="32"/>
        <v>0</v>
      </c>
      <c r="AE54" s="12">
        <f t="shared" si="32"/>
        <v>0</v>
      </c>
      <c r="AF54" s="12">
        <f t="shared" si="32"/>
        <v>0</v>
      </c>
      <c r="AG54" s="12">
        <f t="shared" si="32"/>
        <v>0</v>
      </c>
      <c r="AH54" s="12">
        <f t="shared" ref="AH54" si="33">AH25</f>
        <v>0</v>
      </c>
    </row>
    <row r="55" spans="2:34" x14ac:dyDescent="0.2">
      <c r="D55" s="4" t="s">
        <v>222</v>
      </c>
      <c r="E55" s="4" t="s">
        <v>138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2:34" x14ac:dyDescent="0.2">
      <c r="D56" s="4" t="s">
        <v>223</v>
      </c>
      <c r="E56" s="4" t="s">
        <v>138</v>
      </c>
      <c r="I56" s="12">
        <f t="shared" ref="I56:AG56" si="34">SUM(I53:I55)</f>
        <v>0</v>
      </c>
      <c r="J56" s="12">
        <f t="shared" si="34"/>
        <v>0</v>
      </c>
      <c r="K56" s="12">
        <f t="shared" si="34"/>
        <v>0</v>
      </c>
      <c r="L56" s="12">
        <f t="shared" si="34"/>
        <v>0</v>
      </c>
      <c r="M56" s="12">
        <f t="shared" si="34"/>
        <v>0</v>
      </c>
      <c r="N56" s="12">
        <f t="shared" si="34"/>
        <v>0</v>
      </c>
      <c r="O56" s="12">
        <f t="shared" si="34"/>
        <v>0</v>
      </c>
      <c r="P56" s="12">
        <f t="shared" si="34"/>
        <v>0</v>
      </c>
      <c r="Q56" s="12">
        <f t="shared" si="34"/>
        <v>0</v>
      </c>
      <c r="R56" s="12">
        <f t="shared" si="34"/>
        <v>0</v>
      </c>
      <c r="S56" s="12">
        <f t="shared" si="34"/>
        <v>0</v>
      </c>
      <c r="T56" s="12">
        <f t="shared" si="34"/>
        <v>0</v>
      </c>
      <c r="U56" s="12">
        <f t="shared" si="34"/>
        <v>0</v>
      </c>
      <c r="V56" s="12">
        <f t="shared" si="34"/>
        <v>0</v>
      </c>
      <c r="W56" s="12">
        <f t="shared" si="34"/>
        <v>0</v>
      </c>
      <c r="X56" s="12">
        <f t="shared" si="34"/>
        <v>0</v>
      </c>
      <c r="Y56" s="12">
        <f t="shared" si="34"/>
        <v>0</v>
      </c>
      <c r="Z56" s="12">
        <f t="shared" si="34"/>
        <v>0</v>
      </c>
      <c r="AA56" s="12">
        <f t="shared" si="34"/>
        <v>0</v>
      </c>
      <c r="AB56" s="12">
        <f t="shared" si="34"/>
        <v>0</v>
      </c>
      <c r="AC56" s="12">
        <f t="shared" si="34"/>
        <v>0</v>
      </c>
      <c r="AD56" s="12">
        <f t="shared" si="34"/>
        <v>0</v>
      </c>
      <c r="AE56" s="12">
        <f t="shared" si="34"/>
        <v>0</v>
      </c>
      <c r="AF56" s="12">
        <f t="shared" si="34"/>
        <v>0</v>
      </c>
      <c r="AG56" s="12">
        <f t="shared" si="34"/>
        <v>0</v>
      </c>
      <c r="AH56" s="12">
        <f t="shared" ref="AH56" si="35">SUM(AH53:AH55)</f>
        <v>0</v>
      </c>
    </row>
    <row r="58" spans="2:34" x14ac:dyDescent="0.2">
      <c r="C58" s="1" t="s">
        <v>436</v>
      </c>
      <c r="G58" t="s">
        <v>228</v>
      </c>
    </row>
    <row r="59" spans="2:34" x14ac:dyDescent="0.2">
      <c r="D59" s="4" t="s">
        <v>223</v>
      </c>
      <c r="E59" s="4" t="s">
        <v>138</v>
      </c>
      <c r="G59" s="12">
        <f>SUM(I59:AH59)</f>
        <v>103453314.48872924</v>
      </c>
      <c r="I59" s="12">
        <f t="shared" ref="I59:AG59" si="36">I56+I50</f>
        <v>584771.08451199997</v>
      </c>
      <c r="J59" s="12">
        <f t="shared" si="36"/>
        <v>858882.53037699987</v>
      </c>
      <c r="K59" s="12">
        <f t="shared" si="36"/>
        <v>1132993.9762419998</v>
      </c>
      <c r="L59" s="12">
        <f t="shared" si="36"/>
        <v>1407105.4221069999</v>
      </c>
      <c r="M59" s="12">
        <f t="shared" si="36"/>
        <v>1681216.867972</v>
      </c>
      <c r="N59" s="12">
        <f t="shared" si="36"/>
        <v>1564262.6510695999</v>
      </c>
      <c r="O59" s="12">
        <f t="shared" si="36"/>
        <v>1783551.8077615998</v>
      </c>
      <c r="P59" s="12">
        <f t="shared" si="36"/>
        <v>2503551.2055670004</v>
      </c>
      <c r="Q59" s="12">
        <f t="shared" si="36"/>
        <v>2777662.6514320001</v>
      </c>
      <c r="R59" s="12">
        <f t="shared" si="36"/>
        <v>3051774.0972970007</v>
      </c>
      <c r="S59" s="12">
        <f t="shared" si="36"/>
        <v>3325885.5431620004</v>
      </c>
      <c r="T59" s="12">
        <f t="shared" si="36"/>
        <v>3599996.989027001</v>
      </c>
      <c r="U59" s="12">
        <f t="shared" si="36"/>
        <v>3874108.4348920016</v>
      </c>
      <c r="V59" s="12">
        <f t="shared" si="36"/>
        <v>4148219.8807570017</v>
      </c>
      <c r="W59" s="12">
        <f t="shared" si="36"/>
        <v>4422331.3266220018</v>
      </c>
      <c r="X59" s="12">
        <f t="shared" si="36"/>
        <v>4696442.7724870024</v>
      </c>
      <c r="Y59" s="12">
        <f t="shared" si="36"/>
        <v>4970554.2183520021</v>
      </c>
      <c r="Z59" s="12">
        <f t="shared" si="36"/>
        <v>5244665.6642170027</v>
      </c>
      <c r="AA59" s="12">
        <f t="shared" si="36"/>
        <v>5518777.1100820024</v>
      </c>
      <c r="AB59" s="12">
        <f t="shared" si="36"/>
        <v>5792888.555947003</v>
      </c>
      <c r="AC59" s="12">
        <f t="shared" si="36"/>
        <v>6067000.0018120036</v>
      </c>
      <c r="AD59" s="12">
        <f t="shared" si="36"/>
        <v>6341111.4476770032</v>
      </c>
      <c r="AE59" s="12">
        <f t="shared" si="36"/>
        <v>6615222.8935420038</v>
      </c>
      <c r="AF59" s="12">
        <f t="shared" si="36"/>
        <v>6889334.3394070044</v>
      </c>
      <c r="AG59" s="12">
        <f t="shared" si="36"/>
        <v>7163445.7852720041</v>
      </c>
      <c r="AH59" s="12">
        <f t="shared" ref="AH59" si="37">AH56+AH50</f>
        <v>7437557.2311370056</v>
      </c>
    </row>
    <row r="60" spans="2:34" x14ac:dyDescent="0.2">
      <c r="D60" s="4" t="s">
        <v>280</v>
      </c>
      <c r="E60" s="4" t="s">
        <v>279</v>
      </c>
      <c r="G60" s="12">
        <f>SUM(I60:AH60)</f>
        <v>1862159660.7971265</v>
      </c>
      <c r="I60" s="12">
        <f>I59*PARAMS!$C$35</f>
        <v>10525879.521215999</v>
      </c>
      <c r="J60" s="12">
        <f>J59*PARAMS!$C$35</f>
        <v>15459885.546785997</v>
      </c>
      <c r="K60" s="12">
        <f>K59*PARAMS!$C$35</f>
        <v>20393891.572355997</v>
      </c>
      <c r="L60" s="12">
        <f>L59*PARAMS!$C$35</f>
        <v>25327897.597925998</v>
      </c>
      <c r="M60" s="12">
        <f>M59*PARAMS!$C$35</f>
        <v>30261903.623496</v>
      </c>
      <c r="N60" s="12">
        <f>N59*PARAMS!$C$35</f>
        <v>28156727.719252799</v>
      </c>
      <c r="O60" s="12">
        <f>O59*PARAMS!$C$35</f>
        <v>32103932.539708797</v>
      </c>
      <c r="P60" s="12">
        <f>P59*PARAMS!$C$35</f>
        <v>45063921.700206012</v>
      </c>
      <c r="Q60" s="12">
        <f>Q59*PARAMS!$C$35</f>
        <v>49997927.725776002</v>
      </c>
      <c r="R60" s="12">
        <f>R59*PARAMS!$C$35</f>
        <v>54931933.751346014</v>
      </c>
      <c r="S60" s="12">
        <f>S59*PARAMS!$C$35</f>
        <v>59865939.776916005</v>
      </c>
      <c r="T60" s="12">
        <f>T59*PARAMS!$C$35</f>
        <v>64799945.802486017</v>
      </c>
      <c r="U60" s="12">
        <f>U59*PARAMS!$C$35</f>
        <v>69733951.828056023</v>
      </c>
      <c r="V60" s="12">
        <f>V59*PARAMS!$C$35</f>
        <v>74667957.853626028</v>
      </c>
      <c r="W60" s="12">
        <f>W59*PARAMS!$C$35</f>
        <v>79601963.879196033</v>
      </c>
      <c r="X60" s="12">
        <f>X59*PARAMS!$C$35</f>
        <v>84535969.904766038</v>
      </c>
      <c r="Y60" s="12">
        <f>Y59*PARAMS!$C$35</f>
        <v>89469975.930336043</v>
      </c>
      <c r="Z60" s="12">
        <f>Z59*PARAMS!$C$35</f>
        <v>94403981.955906048</v>
      </c>
      <c r="AA60" s="12">
        <f>AA59*PARAMS!$C$35</f>
        <v>99337987.981476039</v>
      </c>
      <c r="AB60" s="12">
        <f>AB59*PARAMS!$C$35</f>
        <v>104271994.00704606</v>
      </c>
      <c r="AC60" s="12">
        <f>AC59*PARAMS!$C$35</f>
        <v>109206000.03261606</v>
      </c>
      <c r="AD60" s="12">
        <f>AD59*PARAMS!$C$35</f>
        <v>114140006.05818605</v>
      </c>
      <c r="AE60" s="12">
        <f>AE59*PARAMS!$C$35</f>
        <v>119074012.08375607</v>
      </c>
      <c r="AF60" s="12">
        <f>AF59*PARAMS!$C$35</f>
        <v>124008018.10932608</v>
      </c>
      <c r="AG60" s="12">
        <f>AG59*PARAMS!$C$35</f>
        <v>128942024.13489607</v>
      </c>
      <c r="AH60" s="12">
        <f>AH59*PARAMS!$C$35</f>
        <v>133876030.1604661</v>
      </c>
    </row>
    <row r="61" spans="2:34" s="24" customFormat="1" x14ac:dyDescent="0.2">
      <c r="D61" s="48" t="s">
        <v>281</v>
      </c>
      <c r="E61" s="48" t="s">
        <v>168</v>
      </c>
      <c r="G61" s="24">
        <f>SUM(I61:AH61)</f>
        <v>78769353.651718438</v>
      </c>
      <c r="I61" s="24">
        <f t="shared" ref="I61:AH61" si="38">I60*railcostpertonmilenew</f>
        <v>445244.70374743675</v>
      </c>
      <c r="J61" s="24">
        <f t="shared" si="38"/>
        <v>653953.15862904768</v>
      </c>
      <c r="K61" s="24">
        <f t="shared" si="38"/>
        <v>862661.61351065862</v>
      </c>
      <c r="L61" s="24">
        <f t="shared" si="38"/>
        <v>1071370.0683922695</v>
      </c>
      <c r="M61" s="24">
        <f t="shared" si="38"/>
        <v>1280078.5232738806</v>
      </c>
      <c r="N61" s="24">
        <f t="shared" si="38"/>
        <v>1191029.5825243932</v>
      </c>
      <c r="O61" s="24">
        <f t="shared" si="38"/>
        <v>1357996.3464296821</v>
      </c>
      <c r="P61" s="24">
        <f t="shared" si="38"/>
        <v>1906203.8879187142</v>
      </c>
      <c r="Q61" s="24">
        <f t="shared" si="38"/>
        <v>2114912.3428003248</v>
      </c>
      <c r="R61" s="24">
        <f t="shared" si="38"/>
        <v>2323620.7976819361</v>
      </c>
      <c r="S61" s="24">
        <f t="shared" si="38"/>
        <v>2532329.2525635469</v>
      </c>
      <c r="T61" s="24">
        <f t="shared" si="38"/>
        <v>2741037.7074451582</v>
      </c>
      <c r="U61" s="24">
        <f t="shared" si="38"/>
        <v>2949746.1623267694</v>
      </c>
      <c r="V61" s="24">
        <f t="shared" si="38"/>
        <v>3158454.6172083807</v>
      </c>
      <c r="W61" s="24">
        <f t="shared" si="38"/>
        <v>3367163.072089992</v>
      </c>
      <c r="X61" s="24">
        <f t="shared" si="38"/>
        <v>3575871.5269716033</v>
      </c>
      <c r="Y61" s="24">
        <f t="shared" si="38"/>
        <v>3784579.9818532146</v>
      </c>
      <c r="Z61" s="24">
        <f t="shared" si="38"/>
        <v>3993288.4367348254</v>
      </c>
      <c r="AA61" s="24">
        <f t="shared" si="38"/>
        <v>4201996.8916164357</v>
      </c>
      <c r="AB61" s="24">
        <f t="shared" si="38"/>
        <v>4410705.3464980479</v>
      </c>
      <c r="AC61" s="24">
        <f t="shared" si="38"/>
        <v>4619413.8013796592</v>
      </c>
      <c r="AD61" s="24">
        <f t="shared" si="38"/>
        <v>4828122.2562612696</v>
      </c>
      <c r="AE61" s="24">
        <f t="shared" si="38"/>
        <v>5036830.7111428818</v>
      </c>
      <c r="AF61" s="24">
        <f t="shared" si="38"/>
        <v>5245539.1660244931</v>
      </c>
      <c r="AG61" s="24">
        <f t="shared" si="38"/>
        <v>5454247.6209061034</v>
      </c>
      <c r="AH61" s="24">
        <f t="shared" si="38"/>
        <v>5662956.0757877156</v>
      </c>
    </row>
    <row r="62" spans="2:34" s="42" customFormat="1" x14ac:dyDescent="0.2">
      <c r="D62" s="43" t="s">
        <v>226</v>
      </c>
      <c r="G62" s="59">
        <f>SUM(H62:AH62)</f>
        <v>28639655.749960963</v>
      </c>
      <c r="I62" s="44">
        <f>I61/'1_MODEL_assumptions'!I$36</f>
        <v>445244.70374743675</v>
      </c>
      <c r="J62" s="45">
        <f>J61/'1_MODEL_assumptions'!J$36</f>
        <v>611171.17628882953</v>
      </c>
      <c r="K62" s="45">
        <f>K61/'1_MODEL_assumptions'!K$36</f>
        <v>753482.06263486645</v>
      </c>
      <c r="L62" s="45">
        <f>L61/'1_MODEL_assumptions'!L$36</f>
        <v>874557.11219301645</v>
      </c>
      <c r="M62" s="45">
        <f>M61/'1_MODEL_assumptions'!M$36</f>
        <v>976565.77645051014</v>
      </c>
      <c r="N62" s="45">
        <f>N61/'1_MODEL_assumptions'!N$36</f>
        <v>849187.63169609557</v>
      </c>
      <c r="O62" s="45">
        <f>O61/'1_MODEL_assumptions'!O$36</f>
        <v>904890.3054146535</v>
      </c>
      <c r="P62" s="45">
        <f>P61/'1_MODEL_assumptions'!P$36</f>
        <v>1187087.9791807833</v>
      </c>
      <c r="Q62" s="45">
        <f>Q61/'1_MODEL_assumptions'!Q$36</f>
        <v>1230898.2388667646</v>
      </c>
      <c r="R62" s="45">
        <f>R61/'1_MODEL_assumptions'!R$36</f>
        <v>1263895.7568294988</v>
      </c>
      <c r="S62" s="45">
        <f>S61/'1_MODEL_assumptions'!S$36</f>
        <v>1287307.782992718</v>
      </c>
      <c r="T62" s="45">
        <f>T61/'1_MODEL_assumptions'!T$36</f>
        <v>1302247.2694339398</v>
      </c>
      <c r="U62" s="45">
        <f>U61/'1_MODEL_assumptions'!U$36</f>
        <v>1309722.572797549</v>
      </c>
      <c r="V62" s="45">
        <f>V61/'1_MODEL_assumptions'!V$36</f>
        <v>1310646.376410878</v>
      </c>
      <c r="W62" s="45">
        <f>W61/'1_MODEL_assumptions'!W$36</f>
        <v>1305843.8926733606</v>
      </c>
      <c r="X62" s="45">
        <f>X61/'1_MODEL_assumptions'!X$36</f>
        <v>1296060.4017033044</v>
      </c>
      <c r="Y62" s="45">
        <f>Y61/'1_MODEL_assumptions'!Y$36</f>
        <v>1281968.1779821042</v>
      </c>
      <c r="Z62" s="45">
        <f>Z61/'1_MODEL_assumptions'!Z$36</f>
        <v>1264172.8528067067</v>
      </c>
      <c r="AA62" s="45">
        <f>AA61/'1_MODEL_assumptions'!AA$36</f>
        <v>1243219.2567248212</v>
      </c>
      <c r="AB62" s="45">
        <f>AB61/'1_MODEL_assumptions'!AB$36</f>
        <v>1219596.7827621724</v>
      </c>
      <c r="AC62" s="45">
        <f>AC61/'1_MODEL_assumptions'!AC$36</f>
        <v>1193744.308137154</v>
      </c>
      <c r="AD62" s="45">
        <f>AD61/'1_MODEL_assumptions'!AD$36</f>
        <v>1166054.7092770869</v>
      </c>
      <c r="AE62" s="45">
        <f>AE61/'1_MODEL_assumptions'!AE$36</f>
        <v>1136879.002284752</v>
      </c>
      <c r="AF62" s="45">
        <f>AF61/'1_MODEL_assumptions'!AF$36</f>
        <v>1106530.1385381101</v>
      </c>
      <c r="AG62" s="45">
        <f>AG61/'1_MODEL_assumptions'!AG$36</f>
        <v>1075286.4828254022</v>
      </c>
      <c r="AH62" s="45">
        <f>AH61/'1_MODEL_assumptions'!AH$36</f>
        <v>1043394.999308456</v>
      </c>
    </row>
    <row r="63" spans="2:34" x14ac:dyDescent="0.2">
      <c r="D63" s="4"/>
      <c r="E63" s="4"/>
      <c r="G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2:34" x14ac:dyDescent="0.2">
      <c r="B64" s="1" t="s">
        <v>284</v>
      </c>
    </row>
    <row r="65" spans="2:34" x14ac:dyDescent="0.2">
      <c r="B65" s="1"/>
      <c r="C65" s="1" t="s">
        <v>285</v>
      </c>
    </row>
    <row r="66" spans="2:34" x14ac:dyDescent="0.2">
      <c r="D66" t="s">
        <v>235</v>
      </c>
      <c r="E66" t="s">
        <v>138</v>
      </c>
      <c r="I66" s="11">
        <f>(SUM(I21:I23)+SUM(I13:I15))*PARAMS!$C$21</f>
        <v>361587.05769599997</v>
      </c>
      <c r="J66" s="11">
        <f>(SUM(J21:J23)+SUM(J13:J15))*PARAMS!$C$21</f>
        <v>531080.99099099997</v>
      </c>
      <c r="K66" s="11">
        <f>(SUM(K21:K23)+SUM(K13:K15))*PARAMS!$C$21</f>
        <v>700574.92428599996</v>
      </c>
      <c r="L66" s="11">
        <f>(SUM(L21:L23)+SUM(L13:L15))*PARAMS!$C$21</f>
        <v>870068.85758099984</v>
      </c>
      <c r="M66" s="11">
        <f>(SUM(M21:M23)+SUM(M13:M15))*PARAMS!$C$21</f>
        <v>1039562.790876</v>
      </c>
      <c r="N66" s="11">
        <f>(SUM(N21:N23)+SUM(N13:N15))*PARAMS!$C$21</f>
        <v>967245.37933679996</v>
      </c>
      <c r="O66" s="11">
        <f>(SUM(O21:O23)+SUM(O13:O15))*PARAMS!$C$21</f>
        <v>1102840.5259727999</v>
      </c>
      <c r="P66" s="11">
        <f>(SUM(P21:P23)+SUM(P13:P15))*PARAMS!$C$21</f>
        <v>1548044.5907610001</v>
      </c>
      <c r="Q66" s="11">
        <f>(SUM(Q21:Q23)+SUM(Q13:Q15))*PARAMS!$C$21</f>
        <v>1717538.5240560002</v>
      </c>
      <c r="R66" s="11">
        <f>(SUM(R21:R23)+SUM(R13:R15))*PARAMS!$C$21</f>
        <v>1887032.4573510003</v>
      </c>
      <c r="S66" s="11">
        <f>(SUM(S21:S23)+SUM(S13:S15))*PARAMS!$C$21</f>
        <v>2056526.3906460004</v>
      </c>
      <c r="T66" s="11">
        <f>(SUM(T21:T23)+SUM(T13:T15))*PARAMS!$C$21</f>
        <v>2226020.3239410007</v>
      </c>
      <c r="U66" s="11">
        <f>(SUM(U21:U23)+SUM(U13:U15))*PARAMS!$C$21</f>
        <v>2395514.2572360006</v>
      </c>
      <c r="V66" s="11">
        <f>(SUM(V21:V23)+SUM(V13:V15))*PARAMS!$C$21</f>
        <v>2565008.190531001</v>
      </c>
      <c r="W66" s="11">
        <f>(SUM(W21:W23)+SUM(W13:W15))*PARAMS!$C$21</f>
        <v>2734502.1238260013</v>
      </c>
      <c r="X66" s="11">
        <f>(SUM(X21:X23)+SUM(X13:X15))*PARAMS!$C$21</f>
        <v>2903996.0571210012</v>
      </c>
      <c r="Y66" s="11">
        <f>(SUM(Y21:Y23)+SUM(Y13:Y15))*PARAMS!$C$21</f>
        <v>3073489.9904160015</v>
      </c>
      <c r="Z66" s="11">
        <f>(SUM(Z21:Z23)+SUM(Z13:Z15))*PARAMS!$C$21</f>
        <v>3242983.9237110009</v>
      </c>
      <c r="AA66" s="11">
        <f>(SUM(AA21:AA23)+SUM(AA13:AA15))*PARAMS!$C$21</f>
        <v>3412477.8570060013</v>
      </c>
      <c r="AB66" s="11">
        <f>(SUM(AB21:AB23)+SUM(AB13:AB15))*PARAMS!$C$21</f>
        <v>3581971.7903010021</v>
      </c>
      <c r="AC66" s="11">
        <f>(SUM(AC21:AC23)+SUM(AC13:AC15))*PARAMS!$C$21</f>
        <v>3751465.723596002</v>
      </c>
      <c r="AD66" s="11">
        <f>(SUM(AD21:AD23)+SUM(AD13:AD15))*PARAMS!$C$21</f>
        <v>3920959.6568910014</v>
      </c>
      <c r="AE66" s="11">
        <f>(SUM(AE21:AE23)+SUM(AE13:AE15))*PARAMS!$C$21</f>
        <v>4090453.5901860022</v>
      </c>
      <c r="AF66" s="11">
        <f>(SUM(AF21:AF23)+SUM(AF13:AF15))*PARAMS!$C$21</f>
        <v>4259947.523481003</v>
      </c>
      <c r="AG66" s="11">
        <f>(SUM(AG21:AG23)+SUM(AG13:AG15))*PARAMS!$C$21</f>
        <v>4429441.4567760024</v>
      </c>
      <c r="AH66" s="11">
        <f>(SUM(AH21:AH23)+SUM(AH13:AH15))*PARAMS!$C$21</f>
        <v>4598935.3900710028</v>
      </c>
    </row>
    <row r="67" spans="2:34" x14ac:dyDescent="0.2">
      <c r="D67" t="s">
        <v>237</v>
      </c>
      <c r="E67" t="s">
        <v>168</v>
      </c>
      <c r="I67" s="24">
        <f>I66*PARAMS!$J$8</f>
        <v>41948.711394107086</v>
      </c>
      <c r="J67" s="24">
        <f>J66*PARAMS!$J$8</f>
        <v>61612.169860094786</v>
      </c>
      <c r="K67" s="24">
        <f>K66*PARAMS!$J$8</f>
        <v>81275.628326082486</v>
      </c>
      <c r="L67" s="24">
        <f>L66*PARAMS!$J$8</f>
        <v>100939.08679207017</v>
      </c>
      <c r="M67" s="24">
        <f>M66*PARAMS!$J$8</f>
        <v>120602.54525805787</v>
      </c>
      <c r="N67" s="24">
        <f>N66*PARAMS!$J$8</f>
        <v>112212.80297923645</v>
      </c>
      <c r="O67" s="24">
        <f>O66*PARAMS!$J$8</f>
        <v>127943.56975202661</v>
      </c>
      <c r="P67" s="24">
        <f>P66*PARAMS!$J$8</f>
        <v>179592.92065602099</v>
      </c>
      <c r="Q67" s="24">
        <f>Q66*PARAMS!$J$8</f>
        <v>199256.37912200869</v>
      </c>
      <c r="R67" s="24">
        <f>R66*PARAMS!$J$8</f>
        <v>218919.83758799642</v>
      </c>
      <c r="S67" s="24">
        <f>S66*PARAMS!$J$8</f>
        <v>238583.29605398412</v>
      </c>
      <c r="T67" s="24">
        <f>T66*PARAMS!$J$8</f>
        <v>258246.75451997184</v>
      </c>
      <c r="U67" s="24">
        <f>U66*PARAMS!$J$8</f>
        <v>277910.21298595954</v>
      </c>
      <c r="V67" s="24">
        <f>V66*PARAMS!$J$8</f>
        <v>297573.6714519473</v>
      </c>
      <c r="W67" s="24">
        <f>W66*PARAMS!$J$8</f>
        <v>317237.129917935</v>
      </c>
      <c r="X67" s="24">
        <f>X66*PARAMS!$J$8</f>
        <v>336900.5883839227</v>
      </c>
      <c r="Y67" s="24">
        <f>Y66*PARAMS!$J$8</f>
        <v>356564.04684991046</v>
      </c>
      <c r="Z67" s="24">
        <f>Z66*PARAMS!$J$8</f>
        <v>376227.50531589804</v>
      </c>
      <c r="AA67" s="24">
        <f>AA66*PARAMS!$J$8</f>
        <v>395890.9637818858</v>
      </c>
      <c r="AB67" s="24">
        <f>AB66*PARAMS!$J$8</f>
        <v>415554.42224787362</v>
      </c>
      <c r="AC67" s="24">
        <f>AC66*PARAMS!$J$8</f>
        <v>435217.88071386126</v>
      </c>
      <c r="AD67" s="24">
        <f>AD66*PARAMS!$J$8</f>
        <v>454881.3391798489</v>
      </c>
      <c r="AE67" s="24">
        <f>AE66*PARAMS!$J$8</f>
        <v>474544.79764583672</v>
      </c>
      <c r="AF67" s="24">
        <f>AF66*PARAMS!$J$8</f>
        <v>494208.25611182448</v>
      </c>
      <c r="AG67" s="24">
        <f>AG66*PARAMS!$J$8</f>
        <v>513871.71457781212</v>
      </c>
      <c r="AH67" s="24">
        <f>AH66*PARAMS!$J$8</f>
        <v>533535.17304379982</v>
      </c>
    </row>
    <row r="68" spans="2:34" x14ac:dyDescent="0.2">
      <c r="D68" t="s">
        <v>236</v>
      </c>
      <c r="E68" t="s">
        <v>138</v>
      </c>
      <c r="I68" s="11">
        <f>(SUM(I21:I23)+SUM(I13:I15))*PARAMS!$C$22</f>
        <v>843703.13462399994</v>
      </c>
      <c r="J68" s="11">
        <f>(SUM(J21:J23)+SUM(J13:J15))*PARAMS!$C$22</f>
        <v>1239188.9789789999</v>
      </c>
      <c r="K68" s="11">
        <f>(SUM(K21:K23)+SUM(K13:K15))*PARAMS!$C$22</f>
        <v>1634674.8233339998</v>
      </c>
      <c r="L68" s="11">
        <f>(SUM(L21:L23)+SUM(L13:L15))*PARAMS!$C$22</f>
        <v>2030160.6676889996</v>
      </c>
      <c r="M68" s="11">
        <f>(SUM(M21:M23)+SUM(M13:M15))*PARAMS!$C$22</f>
        <v>2425646.512044</v>
      </c>
      <c r="N68" s="11">
        <f>(SUM(N21:N23)+SUM(N13:N15))*PARAMS!$C$22</f>
        <v>2256905.8851191998</v>
      </c>
      <c r="O68" s="11">
        <f>(SUM(O21:O23)+SUM(O13:O15))*PARAMS!$C$22</f>
        <v>2573294.5606031995</v>
      </c>
      <c r="P68" s="11">
        <f>(SUM(P21:P23)+SUM(P13:P15))*PARAMS!$C$22</f>
        <v>3612104.0451090001</v>
      </c>
      <c r="Q68" s="11">
        <f>(SUM(Q21:Q23)+SUM(Q13:Q15))*PARAMS!$C$22</f>
        <v>4007589.8894640002</v>
      </c>
      <c r="R68" s="11">
        <f>(SUM(R21:R23)+SUM(R13:R15))*PARAMS!$C$22</f>
        <v>4403075.7338190004</v>
      </c>
      <c r="S68" s="11">
        <f>(SUM(S21:S23)+SUM(S13:S15))*PARAMS!$C$22</f>
        <v>4798561.5781740006</v>
      </c>
      <c r="T68" s="11">
        <f>(SUM(T21:T23)+SUM(T13:T15))*PARAMS!$C$22</f>
        <v>5194047.4225290017</v>
      </c>
      <c r="U68" s="11">
        <f>(SUM(U21:U23)+SUM(U13:U15))*PARAMS!$C$22</f>
        <v>5589533.2668840019</v>
      </c>
      <c r="V68" s="11">
        <f>(SUM(V21:V23)+SUM(V13:V15))*PARAMS!$C$22</f>
        <v>5985019.1112390021</v>
      </c>
      <c r="W68" s="11">
        <f>(SUM(W21:W23)+SUM(W13:W15))*PARAMS!$C$22</f>
        <v>6380504.9555940023</v>
      </c>
      <c r="X68" s="11">
        <f>(SUM(X21:X23)+SUM(X13:X15))*PARAMS!$C$22</f>
        <v>6775990.7999490025</v>
      </c>
      <c r="Y68" s="11">
        <f>(SUM(Y21:Y23)+SUM(Y13:Y15))*PARAMS!$C$22</f>
        <v>7171476.6443040036</v>
      </c>
      <c r="Z68" s="11">
        <f>(SUM(Z21:Z23)+SUM(Z13:Z15))*PARAMS!$C$22</f>
        <v>7566962.4886590019</v>
      </c>
      <c r="AA68" s="11">
        <f>(SUM(AA21:AA23)+SUM(AA13:AA15))*PARAMS!$C$22</f>
        <v>7962448.3330140021</v>
      </c>
      <c r="AB68" s="11">
        <f>(SUM(AB21:AB23)+SUM(AB13:AB15))*PARAMS!$C$22</f>
        <v>8357934.1773690041</v>
      </c>
      <c r="AC68" s="11">
        <f>(SUM(AC21:AC23)+SUM(AC13:AC15))*PARAMS!$C$22</f>
        <v>8753420.0217240043</v>
      </c>
      <c r="AD68" s="11">
        <f>(SUM(AD21:AD23)+SUM(AD13:AD15))*PARAMS!$C$22</f>
        <v>9148905.8660790026</v>
      </c>
      <c r="AE68" s="11">
        <f>(SUM(AE21:AE23)+SUM(AE13:AE15))*PARAMS!$C$22</f>
        <v>9544391.7104340047</v>
      </c>
      <c r="AF68" s="11">
        <f>(SUM(AF21:AF23)+SUM(AF13:AF15))*PARAMS!$C$22</f>
        <v>9939877.5547890067</v>
      </c>
      <c r="AG68" s="11">
        <f>(SUM(AG21:AG23)+SUM(AG13:AG15))*PARAMS!$C$22</f>
        <v>10335363.399144005</v>
      </c>
      <c r="AH68" s="11">
        <f>(SUM(AH21:AH23)+SUM(AH13:AH15))*PARAMS!$C$22</f>
        <v>10730849.243499007</v>
      </c>
    </row>
    <row r="69" spans="2:34" x14ac:dyDescent="0.2">
      <c r="D69" t="s">
        <v>238</v>
      </c>
      <c r="E69" t="s">
        <v>168</v>
      </c>
      <c r="I69" s="24">
        <f>I68*PARAMS!$J$12</f>
        <v>15416.388483292372</v>
      </c>
      <c r="J69" s="24">
        <f>J68*PARAMS!$J$12</f>
        <v>22642.82058483567</v>
      </c>
      <c r="K69" s="24">
        <f>K68*PARAMS!$J$12</f>
        <v>29869.252686378972</v>
      </c>
      <c r="L69" s="24">
        <f>L68*PARAMS!$J$12</f>
        <v>37095.684787922262</v>
      </c>
      <c r="M69" s="24">
        <f>M68*PARAMS!$J$12</f>
        <v>44322.116889465571</v>
      </c>
      <c r="N69" s="24">
        <f>N68*PARAMS!$J$12</f>
        <v>41238.839192807092</v>
      </c>
      <c r="O69" s="24">
        <f>O68*PARAMS!$J$12</f>
        <v>47019.984874041729</v>
      </c>
      <c r="P69" s="24">
        <f>P68*PARAMS!$J$12</f>
        <v>66001.413194095468</v>
      </c>
      <c r="Q69" s="24">
        <f>Q68*PARAMS!$J$12</f>
        <v>73227.845295638777</v>
      </c>
      <c r="R69" s="24">
        <f>R68*PARAMS!$J$12</f>
        <v>80454.277397182086</v>
      </c>
      <c r="S69" s="24">
        <f>S68*PARAMS!$J$12</f>
        <v>87680.70949872538</v>
      </c>
      <c r="T69" s="24">
        <f>T68*PARAMS!$J$12</f>
        <v>94907.141600268704</v>
      </c>
      <c r="U69" s="24">
        <f>U68*PARAMS!$J$12</f>
        <v>102133.57370181201</v>
      </c>
      <c r="V69" s="24">
        <f>V68*PARAMS!$J$12</f>
        <v>109360.00580335531</v>
      </c>
      <c r="W69" s="24">
        <f>W68*PARAMS!$J$12</f>
        <v>116586.43790489862</v>
      </c>
      <c r="X69" s="24">
        <f>X68*PARAMS!$J$12</f>
        <v>123812.87000644192</v>
      </c>
      <c r="Y69" s="24">
        <f>Y68*PARAMS!$J$12</f>
        <v>131039.30210798525</v>
      </c>
      <c r="Z69" s="24">
        <f>Z68*PARAMS!$J$12</f>
        <v>138265.73420952851</v>
      </c>
      <c r="AA69" s="24">
        <f>AA68*PARAMS!$J$12</f>
        <v>145492.16631107181</v>
      </c>
      <c r="AB69" s="24">
        <f>AB68*PARAMS!$J$12</f>
        <v>152718.59841261516</v>
      </c>
      <c r="AC69" s="24">
        <f>AC68*PARAMS!$J$12</f>
        <v>159945.03051415845</v>
      </c>
      <c r="AD69" s="24">
        <f>AD68*PARAMS!$J$12</f>
        <v>167171.46261570172</v>
      </c>
      <c r="AE69" s="24">
        <f>AE68*PARAMS!$J$12</f>
        <v>174397.89471724507</v>
      </c>
      <c r="AF69" s="24">
        <f>AF68*PARAMS!$J$12</f>
        <v>181624.3268187884</v>
      </c>
      <c r="AG69" s="24">
        <f>AG68*PARAMS!$J$12</f>
        <v>188850.75892033166</v>
      </c>
      <c r="AH69" s="24">
        <f>AH68*PARAMS!$J$12</f>
        <v>196077.19102187501</v>
      </c>
    </row>
    <row r="70" spans="2:34" x14ac:dyDescent="0.2">
      <c r="D70" t="s">
        <v>239</v>
      </c>
      <c r="E70" t="s">
        <v>168</v>
      </c>
      <c r="G70" s="24">
        <f>SUM(I70:AH70)</f>
        <v>10148603.232060436</v>
      </c>
      <c r="I70" s="25">
        <f t="shared" ref="I70:AG70" si="39">SUM(I69,I67)</f>
        <v>57365.099877399458</v>
      </c>
      <c r="J70" s="25">
        <f t="shared" si="39"/>
        <v>84254.990444930459</v>
      </c>
      <c r="K70" s="25">
        <f t="shared" si="39"/>
        <v>111144.88101246145</v>
      </c>
      <c r="L70" s="25">
        <f t="shared" si="39"/>
        <v>138034.77157999243</v>
      </c>
      <c r="M70" s="25">
        <f t="shared" si="39"/>
        <v>164924.66214752343</v>
      </c>
      <c r="N70" s="25">
        <f t="shared" si="39"/>
        <v>153451.64217204356</v>
      </c>
      <c r="O70" s="25">
        <f t="shared" si="39"/>
        <v>174963.55462606833</v>
      </c>
      <c r="P70" s="25">
        <f t="shared" si="39"/>
        <v>245594.33385011647</v>
      </c>
      <c r="Q70" s="25">
        <f t="shared" si="39"/>
        <v>272484.22441764746</v>
      </c>
      <c r="R70" s="25">
        <f t="shared" si="39"/>
        <v>299374.11498517852</v>
      </c>
      <c r="S70" s="25">
        <f t="shared" si="39"/>
        <v>326264.00555270951</v>
      </c>
      <c r="T70" s="25">
        <f t="shared" si="39"/>
        <v>353153.89612024056</v>
      </c>
      <c r="U70" s="25">
        <f t="shared" si="39"/>
        <v>380043.78668777156</v>
      </c>
      <c r="V70" s="25">
        <f t="shared" si="39"/>
        <v>406933.67725530261</v>
      </c>
      <c r="W70" s="25">
        <f t="shared" si="39"/>
        <v>433823.5678228336</v>
      </c>
      <c r="X70" s="25">
        <f t="shared" si="39"/>
        <v>460713.45839036466</v>
      </c>
      <c r="Y70" s="25">
        <f t="shared" si="39"/>
        <v>487603.34895789571</v>
      </c>
      <c r="Z70" s="25">
        <f t="shared" si="39"/>
        <v>514493.23952542653</v>
      </c>
      <c r="AA70" s="25">
        <f t="shared" si="39"/>
        <v>541383.13009295764</v>
      </c>
      <c r="AB70" s="25">
        <f t="shared" si="39"/>
        <v>568273.02066048875</v>
      </c>
      <c r="AC70" s="25">
        <f t="shared" si="39"/>
        <v>595162.91122801974</v>
      </c>
      <c r="AD70" s="25">
        <f t="shared" si="39"/>
        <v>622052.80179555062</v>
      </c>
      <c r="AE70" s="25">
        <f t="shared" si="39"/>
        <v>648942.69236308173</v>
      </c>
      <c r="AF70" s="25">
        <f t="shared" si="39"/>
        <v>675832.58293061284</v>
      </c>
      <c r="AG70" s="25">
        <f t="shared" si="39"/>
        <v>702722.47349814372</v>
      </c>
      <c r="AH70" s="25">
        <f t="shared" ref="AH70" si="40">SUM(AH69,AH67)</f>
        <v>729612.36406567483</v>
      </c>
    </row>
    <row r="71" spans="2:34" s="58" customFormat="1" x14ac:dyDescent="0.2">
      <c r="D71" s="58" t="s">
        <v>240</v>
      </c>
      <c r="E71" s="58" t="s">
        <v>168</v>
      </c>
      <c r="G71" s="59">
        <f>SUM(H71:AH71)</f>
        <v>3689918.5969493007</v>
      </c>
      <c r="I71" s="60">
        <f>I70/'1_MODEL_assumptions'!I$36</f>
        <v>57365.099877399458</v>
      </c>
      <c r="J71" s="60">
        <f>J70/'1_MODEL_assumptions'!J$36</f>
        <v>78742.981724234065</v>
      </c>
      <c r="K71" s="60">
        <f>K70/'1_MODEL_assumptions'!K$36</f>
        <v>97078.243525601763</v>
      </c>
      <c r="L71" s="60">
        <f>L70/'1_MODEL_assumptions'!L$36</f>
        <v>112677.49097786153</v>
      </c>
      <c r="M71" s="60">
        <f>M70/'1_MODEL_assumptions'!M$36</f>
        <v>125820.23510090134</v>
      </c>
      <c r="N71" s="60">
        <f>N70/'1_MODEL_assumptions'!N$36</f>
        <v>109408.9000877403</v>
      </c>
      <c r="O71" s="60">
        <f>O70/'1_MODEL_assumptions'!O$36</f>
        <v>116585.60407637624</v>
      </c>
      <c r="P71" s="60">
        <f>P70/'1_MODEL_assumptions'!P$36</f>
        <v>152943.80801347812</v>
      </c>
      <c r="Q71" s="60">
        <f>Q70/'1_MODEL_assumptions'!Q$36</f>
        <v>158588.29946141399</v>
      </c>
      <c r="R71" s="60">
        <f>R70/'1_MODEL_assumptions'!R$36</f>
        <v>162839.68279670522</v>
      </c>
      <c r="S71" s="60">
        <f>S70/'1_MODEL_assumptions'!S$36</f>
        <v>165856.07627175751</v>
      </c>
      <c r="T71" s="60">
        <f>T70/'1_MODEL_assumptions'!T$36</f>
        <v>167780.87206293637</v>
      </c>
      <c r="U71" s="60">
        <f>U70/'1_MODEL_assumptions'!U$36</f>
        <v>168743.98632450553</v>
      </c>
      <c r="V71" s="60">
        <f>V70/'1_MODEL_assumptions'!V$36</f>
        <v>168863.008709499</v>
      </c>
      <c r="W71" s="60">
        <f>W70/'1_MODEL_assumptions'!W$36</f>
        <v>168244.25916134365</v>
      </c>
      <c r="X71" s="60">
        <f>X70/'1_MODEL_assumptions'!X$36</f>
        <v>166983.75918925356</v>
      </c>
      <c r="Y71" s="60">
        <f>Y70/'1_MODEL_assumptions'!Y$36</f>
        <v>165168.12429352695</v>
      </c>
      <c r="Z71" s="60">
        <f>Z70/'1_MODEL_assumptions'!Z$36</f>
        <v>162875.38370066733</v>
      </c>
      <c r="AA71" s="60">
        <f>AA70/'1_MODEL_assumptions'!AA$36</f>
        <v>160175.73309974777</v>
      </c>
      <c r="AB71" s="60">
        <f>AB70/'1_MODEL_assumptions'!AB$36</f>
        <v>157132.2256378661</v>
      </c>
      <c r="AC71" s="60">
        <f>AC70/'1_MODEL_assumptions'!AC$36</f>
        <v>153801.40603134391</v>
      </c>
      <c r="AD71" s="60">
        <f>AD70/'1_MODEL_assumptions'!AD$36</f>
        <v>150233.89227811148</v>
      </c>
      <c r="AE71" s="60">
        <f>AE70/'1_MODEL_assumptions'!AE$36</f>
        <v>146474.90911329788</v>
      </c>
      <c r="AF71" s="60">
        <f>AF70/'1_MODEL_assumptions'!AF$36</f>
        <v>142564.77703235738</v>
      </c>
      <c r="AG71" s="60">
        <f>AG70/'1_MODEL_assumptions'!AG$36</f>
        <v>138539.36041221666</v>
      </c>
      <c r="AH71" s="60">
        <f>AH70/'1_MODEL_assumptions'!AH$36</f>
        <v>134430.4779891574</v>
      </c>
    </row>
    <row r="73" spans="2:34" x14ac:dyDescent="0.2">
      <c r="C73" s="1" t="s">
        <v>155</v>
      </c>
    </row>
    <row r="74" spans="2:34" x14ac:dyDescent="0.2">
      <c r="D74" t="s">
        <v>286</v>
      </c>
    </row>
    <row r="76" spans="2:34" x14ac:dyDescent="0.2">
      <c r="B76" s="1" t="s">
        <v>283</v>
      </c>
    </row>
    <row r="77" spans="2:34" x14ac:dyDescent="0.2">
      <c r="C77" s="1" t="s">
        <v>282</v>
      </c>
    </row>
    <row r="78" spans="2:34" x14ac:dyDescent="0.2">
      <c r="D78" s="16" t="s">
        <v>241</v>
      </c>
    </row>
    <row r="79" spans="2:34" x14ac:dyDescent="0.2">
      <c r="D79" s="16" t="s">
        <v>242</v>
      </c>
    </row>
    <row r="81" spans="2:34" x14ac:dyDescent="0.2">
      <c r="B81" s="1" t="s">
        <v>287</v>
      </c>
    </row>
    <row r="82" spans="2:34" x14ac:dyDescent="0.2">
      <c r="C82" s="1" t="s">
        <v>247</v>
      </c>
    </row>
    <row r="83" spans="2:34" x14ac:dyDescent="0.2">
      <c r="D83" t="s">
        <v>235</v>
      </c>
      <c r="E83" t="s">
        <v>138</v>
      </c>
      <c r="I83" s="12">
        <f t="shared" ref="I83:AG83" si="41">I66</f>
        <v>361587.05769599997</v>
      </c>
      <c r="J83" s="12">
        <f t="shared" si="41"/>
        <v>531080.99099099997</v>
      </c>
      <c r="K83" s="12">
        <f t="shared" si="41"/>
        <v>700574.92428599996</v>
      </c>
      <c r="L83" s="12">
        <f t="shared" si="41"/>
        <v>870068.85758099984</v>
      </c>
      <c r="M83" s="12">
        <f t="shared" si="41"/>
        <v>1039562.790876</v>
      </c>
      <c r="N83" s="12">
        <f t="shared" si="41"/>
        <v>967245.37933679996</v>
      </c>
      <c r="O83" s="12">
        <f t="shared" si="41"/>
        <v>1102840.5259727999</v>
      </c>
      <c r="P83" s="12">
        <f t="shared" si="41"/>
        <v>1548044.5907610001</v>
      </c>
      <c r="Q83" s="12">
        <f t="shared" si="41"/>
        <v>1717538.5240560002</v>
      </c>
      <c r="R83" s="12">
        <f t="shared" si="41"/>
        <v>1887032.4573510003</v>
      </c>
      <c r="S83" s="12">
        <f t="shared" si="41"/>
        <v>2056526.3906460004</v>
      </c>
      <c r="T83" s="12">
        <f t="shared" si="41"/>
        <v>2226020.3239410007</v>
      </c>
      <c r="U83" s="12">
        <f t="shared" si="41"/>
        <v>2395514.2572360006</v>
      </c>
      <c r="V83" s="12">
        <f t="shared" si="41"/>
        <v>2565008.190531001</v>
      </c>
      <c r="W83" s="12">
        <f t="shared" si="41"/>
        <v>2734502.1238260013</v>
      </c>
      <c r="X83" s="12">
        <f t="shared" si="41"/>
        <v>2903996.0571210012</v>
      </c>
      <c r="Y83" s="12">
        <f t="shared" si="41"/>
        <v>3073489.9904160015</v>
      </c>
      <c r="Z83" s="12">
        <f t="shared" si="41"/>
        <v>3242983.9237110009</v>
      </c>
      <c r="AA83" s="12">
        <f t="shared" si="41"/>
        <v>3412477.8570060013</v>
      </c>
      <c r="AB83" s="12">
        <f t="shared" si="41"/>
        <v>3581971.7903010021</v>
      </c>
      <c r="AC83" s="12">
        <f t="shared" si="41"/>
        <v>3751465.723596002</v>
      </c>
      <c r="AD83" s="12">
        <f t="shared" si="41"/>
        <v>3920959.6568910014</v>
      </c>
      <c r="AE83" s="12">
        <f t="shared" si="41"/>
        <v>4090453.5901860022</v>
      </c>
      <c r="AF83" s="12">
        <f t="shared" si="41"/>
        <v>4259947.523481003</v>
      </c>
      <c r="AG83" s="12">
        <f t="shared" si="41"/>
        <v>4429441.4567760024</v>
      </c>
      <c r="AH83" s="12">
        <f t="shared" ref="AH83" si="42">AH66</f>
        <v>4598935.3900710028</v>
      </c>
    </row>
    <row r="84" spans="2:34" s="24" customFormat="1" x14ac:dyDescent="0.2">
      <c r="D84" s="24" t="s">
        <v>249</v>
      </c>
      <c r="E84" s="24" t="s">
        <v>168</v>
      </c>
      <c r="I84" s="24">
        <f>I83*PARAMS!$C$16</f>
        <v>318196.61077247997</v>
      </c>
      <c r="J84" s="24">
        <f>J83*PARAMS!$C$16</f>
        <v>467351.27207208</v>
      </c>
      <c r="K84" s="24">
        <f>K83*PARAMS!$C$16</f>
        <v>616505.93337167997</v>
      </c>
      <c r="L84" s="24">
        <f>L83*PARAMS!$C$16</f>
        <v>765660.59467127989</v>
      </c>
      <c r="M84" s="24">
        <f>M83*PARAMS!$C$16</f>
        <v>914815.25597087992</v>
      </c>
      <c r="N84" s="24">
        <f>N83*PARAMS!$C$16</f>
        <v>851175.93381638394</v>
      </c>
      <c r="O84" s="24">
        <f>O83*PARAMS!$C$16</f>
        <v>970499.66285606392</v>
      </c>
      <c r="P84" s="24">
        <f>P83*PARAMS!$C$16</f>
        <v>1362279.23986968</v>
      </c>
      <c r="Q84" s="24">
        <f>Q83*PARAMS!$C$16</f>
        <v>1511433.9011692801</v>
      </c>
      <c r="R84" s="24">
        <f>R83*PARAMS!$C$16</f>
        <v>1660588.5624688803</v>
      </c>
      <c r="S84" s="24">
        <f>S83*PARAMS!$C$16</f>
        <v>1809743.2237684804</v>
      </c>
      <c r="T84" s="24">
        <f>T83*PARAMS!$C$16</f>
        <v>1958897.8850680806</v>
      </c>
      <c r="U84" s="24">
        <f>U83*PARAMS!$C$16</f>
        <v>2108052.5463676807</v>
      </c>
      <c r="V84" s="24">
        <f>V83*PARAMS!$C$16</f>
        <v>2257207.2076672809</v>
      </c>
      <c r="W84" s="24">
        <f>W83*PARAMS!$C$16</f>
        <v>2406361.8689668812</v>
      </c>
      <c r="X84" s="24">
        <f>X83*PARAMS!$C$16</f>
        <v>2555516.530266481</v>
      </c>
      <c r="Y84" s="24">
        <f>Y83*PARAMS!$C$16</f>
        <v>2704671.1915660813</v>
      </c>
      <c r="Z84" s="24">
        <f>Z83*PARAMS!$C$16</f>
        <v>2853825.8528656811</v>
      </c>
      <c r="AA84" s="24">
        <f>AA83*PARAMS!$C$16</f>
        <v>3002980.5141652813</v>
      </c>
      <c r="AB84" s="24">
        <f>AB83*PARAMS!$C$16</f>
        <v>3152135.175464882</v>
      </c>
      <c r="AC84" s="24">
        <f>AC83*PARAMS!$C$16</f>
        <v>3301289.8367644818</v>
      </c>
      <c r="AD84" s="24">
        <f>AD83*PARAMS!$C$16</f>
        <v>3450444.4980640812</v>
      </c>
      <c r="AE84" s="24">
        <f>AE83*PARAMS!$C$16</f>
        <v>3599599.1593636819</v>
      </c>
      <c r="AF84" s="24">
        <f>AF83*PARAMS!$C$16</f>
        <v>3748753.8206632826</v>
      </c>
      <c r="AG84" s="24">
        <f>AG83*PARAMS!$C$16</f>
        <v>3897908.481962882</v>
      </c>
      <c r="AH84" s="24">
        <f>AH83*PARAMS!$C$16</f>
        <v>4047063.1432624822</v>
      </c>
    </row>
    <row r="85" spans="2:34" s="24" customFormat="1" x14ac:dyDescent="0.2">
      <c r="D85" s="24" t="s">
        <v>419</v>
      </c>
      <c r="E85" s="24" t="s">
        <v>168</v>
      </c>
      <c r="I85" s="24">
        <f>I83/100000000*PARAMS!$C$18*PARAMS!$C$20</f>
        <v>29852.627483381762</v>
      </c>
      <c r="J85" s="24">
        <f>J83/100000000*PARAMS!$C$18*PARAMS!$C$20</f>
        <v>43846.046616216954</v>
      </c>
      <c r="K85" s="24">
        <f>K83/100000000*PARAMS!$C$18*PARAMS!$C$20</f>
        <v>57839.465749052157</v>
      </c>
      <c r="L85" s="24">
        <f>L83/100000000*PARAMS!$C$18*PARAMS!$C$20</f>
        <v>71832.884881887338</v>
      </c>
      <c r="M85" s="24">
        <f>M83/100000000*PARAMS!$C$18*PARAMS!$C$20</f>
        <v>85826.30401472254</v>
      </c>
      <c r="N85" s="24">
        <f>N83/100000000*PARAMS!$C$18*PARAMS!$C$20</f>
        <v>79855.778518046194</v>
      </c>
      <c r="O85" s="24">
        <f>O83/100000000*PARAMS!$C$18*PARAMS!$C$20</f>
        <v>91050.513824314359</v>
      </c>
      <c r="P85" s="24">
        <f>P83/100000000*PARAMS!$C$18*PARAMS!$C$20</f>
        <v>127806.56141322816</v>
      </c>
      <c r="Q85" s="24">
        <f>Q83/100000000*PARAMS!$C$18*PARAMS!$C$20</f>
        <v>141799.98054606337</v>
      </c>
      <c r="R85" s="24">
        <f>R83/100000000*PARAMS!$C$18*PARAMS!$C$20</f>
        <v>155793.3996788986</v>
      </c>
      <c r="S85" s="24">
        <f>S83/100000000*PARAMS!$C$18*PARAMS!$C$20</f>
        <v>169786.8188117338</v>
      </c>
      <c r="T85" s="24">
        <f>T83/100000000*PARAMS!$C$18*PARAMS!$C$20</f>
        <v>183780.23794456903</v>
      </c>
      <c r="U85" s="24">
        <f>U83/100000000*PARAMS!$C$18*PARAMS!$C$20</f>
        <v>197773.6570774042</v>
      </c>
      <c r="V85" s="24">
        <f>V83/100000000*PARAMS!$C$18*PARAMS!$C$20</f>
        <v>211767.07621023944</v>
      </c>
      <c r="W85" s="24">
        <f>W83/100000000*PARAMS!$C$18*PARAMS!$C$20</f>
        <v>225760.49534307467</v>
      </c>
      <c r="X85" s="24">
        <f>X83/100000000*PARAMS!$C$18*PARAMS!$C$20</f>
        <v>239753.91447590987</v>
      </c>
      <c r="Y85" s="24">
        <f>Y83/100000000*PARAMS!$C$18*PARAMS!$C$20</f>
        <v>253747.33360874507</v>
      </c>
      <c r="Z85" s="24">
        <f>Z83/100000000*PARAMS!$C$18*PARAMS!$C$20</f>
        <v>267740.75274158025</v>
      </c>
      <c r="AA85" s="24">
        <f>AA83/100000000*PARAMS!$C$18*PARAMS!$C$20</f>
        <v>281734.17187441548</v>
      </c>
      <c r="AB85" s="24">
        <f>AB83/100000000*PARAMS!$C$18*PARAMS!$C$20</f>
        <v>295727.59100725071</v>
      </c>
      <c r="AC85" s="24">
        <f>AC83/100000000*PARAMS!$C$18*PARAMS!$C$20</f>
        <v>309721.01014008588</v>
      </c>
      <c r="AD85" s="24">
        <f>AD83/100000000*PARAMS!$C$18*PARAMS!$C$20</f>
        <v>323714.42927292112</v>
      </c>
      <c r="AE85" s="24">
        <f>AE83/100000000*PARAMS!$C$18*PARAMS!$C$20</f>
        <v>337707.84840575635</v>
      </c>
      <c r="AF85" s="24">
        <f>AF83/100000000*PARAMS!$C$18*PARAMS!$C$20</f>
        <v>351701.26753859158</v>
      </c>
      <c r="AG85" s="24">
        <f>AG83/100000000*PARAMS!$C$18*PARAMS!$C$20</f>
        <v>365694.68667142675</v>
      </c>
      <c r="AH85" s="24">
        <f>AH83/100000000*PARAMS!$C$18*PARAMS!$C$20</f>
        <v>379688.10580426204</v>
      </c>
    </row>
    <row r="86" spans="2:34" x14ac:dyDescent="0.2">
      <c r="D86" t="s">
        <v>236</v>
      </c>
      <c r="E86" t="s">
        <v>138</v>
      </c>
      <c r="I86" s="12">
        <f t="shared" ref="I86:AG86" si="43">I68</f>
        <v>843703.13462399994</v>
      </c>
      <c r="J86" s="12">
        <f t="shared" si="43"/>
        <v>1239188.9789789999</v>
      </c>
      <c r="K86" s="12">
        <f t="shared" si="43"/>
        <v>1634674.8233339998</v>
      </c>
      <c r="L86" s="12">
        <f t="shared" si="43"/>
        <v>2030160.6676889996</v>
      </c>
      <c r="M86" s="12">
        <f t="shared" si="43"/>
        <v>2425646.512044</v>
      </c>
      <c r="N86" s="12">
        <f t="shared" si="43"/>
        <v>2256905.8851191998</v>
      </c>
      <c r="O86" s="12">
        <f t="shared" si="43"/>
        <v>2573294.5606031995</v>
      </c>
      <c r="P86" s="12">
        <f t="shared" si="43"/>
        <v>3612104.0451090001</v>
      </c>
      <c r="Q86" s="12">
        <f t="shared" si="43"/>
        <v>4007589.8894640002</v>
      </c>
      <c r="R86" s="12">
        <f t="shared" si="43"/>
        <v>4403075.7338190004</v>
      </c>
      <c r="S86" s="12">
        <f t="shared" si="43"/>
        <v>4798561.5781740006</v>
      </c>
      <c r="T86" s="12">
        <f t="shared" si="43"/>
        <v>5194047.4225290017</v>
      </c>
      <c r="U86" s="12">
        <f t="shared" si="43"/>
        <v>5589533.2668840019</v>
      </c>
      <c r="V86" s="12">
        <f t="shared" si="43"/>
        <v>5985019.1112390021</v>
      </c>
      <c r="W86" s="12">
        <f t="shared" si="43"/>
        <v>6380504.9555940023</v>
      </c>
      <c r="X86" s="12">
        <f t="shared" si="43"/>
        <v>6775990.7999490025</v>
      </c>
      <c r="Y86" s="12">
        <f t="shared" si="43"/>
        <v>7171476.6443040036</v>
      </c>
      <c r="Z86" s="12">
        <f t="shared" si="43"/>
        <v>7566962.4886590019</v>
      </c>
      <c r="AA86" s="12">
        <f t="shared" si="43"/>
        <v>7962448.3330140021</v>
      </c>
      <c r="AB86" s="12">
        <f t="shared" si="43"/>
        <v>8357934.1773690041</v>
      </c>
      <c r="AC86" s="12">
        <f t="shared" si="43"/>
        <v>8753420.0217240043</v>
      </c>
      <c r="AD86" s="12">
        <f t="shared" si="43"/>
        <v>9148905.8660790026</v>
      </c>
      <c r="AE86" s="12">
        <f t="shared" si="43"/>
        <v>9544391.7104340047</v>
      </c>
      <c r="AF86" s="12">
        <f t="shared" si="43"/>
        <v>9939877.5547890067</v>
      </c>
      <c r="AG86" s="12">
        <f t="shared" si="43"/>
        <v>10335363.399144005</v>
      </c>
      <c r="AH86" s="12">
        <f t="shared" ref="AH86" si="44">AH68</f>
        <v>10730849.243499007</v>
      </c>
    </row>
    <row r="87" spans="2:34" s="24" customFormat="1" x14ac:dyDescent="0.2">
      <c r="D87" s="24" t="s">
        <v>250</v>
      </c>
      <c r="E87" s="24" t="s">
        <v>168</v>
      </c>
      <c r="I87" s="24">
        <f>I86*PARAMS!$C$17</f>
        <v>970258.60481759987</v>
      </c>
      <c r="J87" s="24">
        <f>J86*PARAMS!$C$17</f>
        <v>1425067.3258258498</v>
      </c>
      <c r="K87" s="24">
        <f>K86*PARAMS!$C$17</f>
        <v>1879876.0468340996</v>
      </c>
      <c r="L87" s="24">
        <f>L86*PARAMS!$C$17</f>
        <v>2334684.7678423491</v>
      </c>
      <c r="M87" s="24">
        <f>M86*PARAMS!$C$17</f>
        <v>2789493.4888505996</v>
      </c>
      <c r="N87" s="24">
        <f>N86*PARAMS!$C$17</f>
        <v>2595441.7678870796</v>
      </c>
      <c r="O87" s="24">
        <f>O86*PARAMS!$C$17</f>
        <v>2959288.7446936793</v>
      </c>
      <c r="P87" s="24">
        <f>P86*PARAMS!$C$17</f>
        <v>4153919.6518753497</v>
      </c>
      <c r="Q87" s="24">
        <f>Q86*PARAMS!$C$17</f>
        <v>4608728.3728836002</v>
      </c>
      <c r="R87" s="24">
        <f>R86*PARAMS!$C$17</f>
        <v>5063537.0938918497</v>
      </c>
      <c r="S87" s="24">
        <f>S86*PARAMS!$C$17</f>
        <v>5518345.8149001002</v>
      </c>
      <c r="T87" s="24">
        <f>T86*PARAMS!$C$17</f>
        <v>5973154.5359083517</v>
      </c>
      <c r="U87" s="24">
        <f>U86*PARAMS!$C$17</f>
        <v>6427963.2569166021</v>
      </c>
      <c r="V87" s="24">
        <f>V86*PARAMS!$C$17</f>
        <v>6882771.9779248517</v>
      </c>
      <c r="W87" s="24">
        <f>W86*PARAMS!$C$17</f>
        <v>7337580.6989331022</v>
      </c>
      <c r="X87" s="24">
        <f>X86*PARAMS!$C$17</f>
        <v>7792389.4199413527</v>
      </c>
      <c r="Y87" s="24">
        <f>Y86*PARAMS!$C$17</f>
        <v>8247198.1409496032</v>
      </c>
      <c r="Z87" s="24">
        <f>Z86*PARAMS!$C$17</f>
        <v>8702006.8619578518</v>
      </c>
      <c r="AA87" s="24">
        <f>AA86*PARAMS!$C$17</f>
        <v>9156815.5829661023</v>
      </c>
      <c r="AB87" s="24">
        <f>AB86*PARAMS!$C$17</f>
        <v>9611624.3039743546</v>
      </c>
      <c r="AC87" s="24">
        <f>AC86*PARAMS!$C$17</f>
        <v>10066433.024982603</v>
      </c>
      <c r="AD87" s="24">
        <f>AD86*PARAMS!$C$17</f>
        <v>10521241.745990852</v>
      </c>
      <c r="AE87" s="24">
        <f>AE86*PARAMS!$C$17</f>
        <v>10976050.466999104</v>
      </c>
      <c r="AF87" s="24">
        <f>AF86*PARAMS!$C$17</f>
        <v>11430859.188007357</v>
      </c>
      <c r="AG87" s="24">
        <f>AG86*PARAMS!$C$17</f>
        <v>11885667.909015605</v>
      </c>
      <c r="AH87" s="24">
        <f>AH86*PARAMS!$C$17</f>
        <v>12340476.630023858</v>
      </c>
    </row>
    <row r="88" spans="2:34" s="24" customFormat="1" x14ac:dyDescent="0.2">
      <c r="D88" s="24" t="s">
        <v>420</v>
      </c>
      <c r="E88" s="24" t="s">
        <v>168</v>
      </c>
      <c r="I88" s="24">
        <f>I86/100000000*PARAMS!$C$19*PARAMS!$C$20</f>
        <v>137692.35157063679</v>
      </c>
      <c r="J88" s="24">
        <f>J86/100000000*PARAMS!$C$19*PARAMS!$C$20</f>
        <v>202235.64136937278</v>
      </c>
      <c r="K88" s="24">
        <f>K86/100000000*PARAMS!$C$19*PARAMS!$C$20</f>
        <v>266778.93116810877</v>
      </c>
      <c r="L88" s="24">
        <f>L86/100000000*PARAMS!$C$19*PARAMS!$C$20</f>
        <v>331322.2209668447</v>
      </c>
      <c r="M88" s="24">
        <f>M86/100000000*PARAMS!$C$19*PARAMS!$C$20</f>
        <v>395865.51076558075</v>
      </c>
      <c r="N88" s="24">
        <f>N86/100000000*PARAMS!$C$19*PARAMS!$C$20</f>
        <v>368327.04045145342</v>
      </c>
      <c r="O88" s="24">
        <f>O86/100000000*PARAMS!$C$19*PARAMS!$C$20</f>
        <v>419961.67229044216</v>
      </c>
      <c r="P88" s="24">
        <f>P86/100000000*PARAMS!$C$19*PARAMS!$C$20</f>
        <v>589495.38016178878</v>
      </c>
      <c r="Q88" s="24">
        <f>Q86/100000000*PARAMS!$C$19*PARAMS!$C$20</f>
        <v>654038.66996052477</v>
      </c>
      <c r="R88" s="24">
        <f>R86/100000000*PARAMS!$C$19*PARAMS!$C$20</f>
        <v>718581.95975926088</v>
      </c>
      <c r="S88" s="24">
        <f>S86/100000000*PARAMS!$C$19*PARAMS!$C$20</f>
        <v>783125.24955799687</v>
      </c>
      <c r="T88" s="24">
        <f>T86/100000000*PARAMS!$C$19*PARAMS!$C$20</f>
        <v>847668.53935673309</v>
      </c>
      <c r="U88" s="24">
        <f>U86/100000000*PARAMS!$C$19*PARAMS!$C$20</f>
        <v>912211.82915546896</v>
      </c>
      <c r="V88" s="24">
        <f>V86/100000000*PARAMS!$C$19*PARAMS!$C$20</f>
        <v>976755.11895420507</v>
      </c>
      <c r="W88" s="24">
        <f>W86/100000000*PARAMS!$C$19*PARAMS!$C$20</f>
        <v>1041298.4087529411</v>
      </c>
      <c r="X88" s="24">
        <f>X86/100000000*PARAMS!$C$19*PARAMS!$C$20</f>
        <v>1105841.6985516772</v>
      </c>
      <c r="Y88" s="24">
        <f>Y86/100000000*PARAMS!$C$19*PARAMS!$C$20</f>
        <v>1170384.9883504133</v>
      </c>
      <c r="Z88" s="24">
        <f>Z86/100000000*PARAMS!$C$19*PARAMS!$C$20</f>
        <v>1234928.2781491489</v>
      </c>
      <c r="AA88" s="24">
        <f>AA86/100000000*PARAMS!$C$19*PARAMS!$C$20</f>
        <v>1299471.567947885</v>
      </c>
      <c r="AB88" s="24">
        <f>AB86/100000000*PARAMS!$C$19*PARAMS!$C$20</f>
        <v>1364014.8577466216</v>
      </c>
      <c r="AC88" s="24">
        <f>AC86/100000000*PARAMS!$C$19*PARAMS!$C$20</f>
        <v>1428558.1475453575</v>
      </c>
      <c r="AD88" s="24">
        <f>AD86/100000000*PARAMS!$C$19*PARAMS!$C$20</f>
        <v>1493101.4373440931</v>
      </c>
      <c r="AE88" s="24">
        <f>AE86/100000000*PARAMS!$C$19*PARAMS!$C$20</f>
        <v>1557644.7271428294</v>
      </c>
      <c r="AF88" s="24">
        <f>AF86/100000000*PARAMS!$C$19*PARAMS!$C$20</f>
        <v>1622188.0169415658</v>
      </c>
      <c r="AG88" s="24">
        <f>AG86/100000000*PARAMS!$C$19*PARAMS!$C$20</f>
        <v>1686731.3067403017</v>
      </c>
      <c r="AH88" s="24">
        <f>AH86/100000000*PARAMS!$C$19*PARAMS!$C$20</f>
        <v>1751274.596539038</v>
      </c>
    </row>
    <row r="89" spans="2:34" x14ac:dyDescent="0.2">
      <c r="D89" t="s">
        <v>248</v>
      </c>
      <c r="E89" t="s">
        <v>168</v>
      </c>
      <c r="G89" s="25">
        <f>SUM(I89:AH89)</f>
        <v>257584634.4349741</v>
      </c>
      <c r="I89" s="25">
        <f>SUM(I87:I88,I84:I85)</f>
        <v>1456000.1946440984</v>
      </c>
      <c r="J89" s="25">
        <f t="shared" ref="J89:AG89" si="45">SUM(J87:J88,J84:J85)</f>
        <v>2138500.2858835198</v>
      </c>
      <c r="K89" s="25">
        <f t="shared" si="45"/>
        <v>2821000.3771229405</v>
      </c>
      <c r="L89" s="25">
        <f t="shared" si="45"/>
        <v>3503500.4683623607</v>
      </c>
      <c r="M89" s="25">
        <f t="shared" si="45"/>
        <v>4186000.5596017828</v>
      </c>
      <c r="N89" s="25">
        <f t="shared" si="45"/>
        <v>3894800.5206729635</v>
      </c>
      <c r="O89" s="25">
        <f t="shared" si="45"/>
        <v>4440800.5936644999</v>
      </c>
      <c r="P89" s="25">
        <f t="shared" si="45"/>
        <v>6233500.8333200477</v>
      </c>
      <c r="Q89" s="25">
        <f t="shared" si="45"/>
        <v>6916000.9245594693</v>
      </c>
      <c r="R89" s="25">
        <f t="shared" si="45"/>
        <v>7598501.0157988891</v>
      </c>
      <c r="S89" s="25">
        <f t="shared" si="45"/>
        <v>8281001.1070383117</v>
      </c>
      <c r="T89" s="25">
        <f t="shared" si="45"/>
        <v>8963501.1982777342</v>
      </c>
      <c r="U89" s="25">
        <f t="shared" si="45"/>
        <v>9646001.2895171549</v>
      </c>
      <c r="V89" s="25">
        <f t="shared" si="45"/>
        <v>10328501.380756577</v>
      </c>
      <c r="W89" s="25">
        <f t="shared" si="45"/>
        <v>11011001.471995998</v>
      </c>
      <c r="X89" s="25">
        <f t="shared" si="45"/>
        <v>11693501.563235421</v>
      </c>
      <c r="Y89" s="25">
        <f t="shared" si="45"/>
        <v>12376001.654474843</v>
      </c>
      <c r="Z89" s="25">
        <f t="shared" si="45"/>
        <v>13058501.745714262</v>
      </c>
      <c r="AA89" s="25">
        <f t="shared" si="45"/>
        <v>13741001.836953685</v>
      </c>
      <c r="AB89" s="25">
        <f t="shared" si="45"/>
        <v>14423501.928193109</v>
      </c>
      <c r="AC89" s="25">
        <f t="shared" si="45"/>
        <v>15106002.019432528</v>
      </c>
      <c r="AD89" s="25">
        <f t="shared" si="45"/>
        <v>15788502.110671947</v>
      </c>
      <c r="AE89" s="25">
        <f t="shared" si="45"/>
        <v>16471002.201911371</v>
      </c>
      <c r="AF89" s="25">
        <f t="shared" si="45"/>
        <v>17153502.293150797</v>
      </c>
      <c r="AG89" s="25">
        <f t="shared" si="45"/>
        <v>17836002.384390216</v>
      </c>
      <c r="AH89" s="25">
        <f t="shared" ref="AH89" si="46">SUM(AH87:AH88,AH84:AH85)</f>
        <v>18518502.475629639</v>
      </c>
    </row>
    <row r="90" spans="2:34" s="58" customFormat="1" x14ac:dyDescent="0.2">
      <c r="D90" s="58" t="s">
        <v>240</v>
      </c>
      <c r="E90" s="58" t="s">
        <v>168</v>
      </c>
      <c r="G90" s="59">
        <f>SUM(H90:AH90)</f>
        <v>93654891.33395043</v>
      </c>
      <c r="H90" s="59"/>
      <c r="I90" s="59">
        <f>I89/'1_MODEL_assumptions'!I$36</f>
        <v>1456000.1946440984</v>
      </c>
      <c r="J90" s="59">
        <f>J89/'1_MODEL_assumptions'!J$36</f>
        <v>1998598.3980219811</v>
      </c>
      <c r="K90" s="59">
        <f>K89/'1_MODEL_assumptions'!K$36</f>
        <v>2463970.9818525114</v>
      </c>
      <c r="L90" s="59">
        <f>L89/'1_MODEL_assumptions'!L$36</f>
        <v>2859899.9940103004</v>
      </c>
      <c r="M90" s="59">
        <f>M89/'1_MODEL_assumptions'!M$36</f>
        <v>3193479.7845484614</v>
      </c>
      <c r="N90" s="59">
        <f>N89/'1_MODEL_assumptions'!N$36</f>
        <v>2776938.9430856183</v>
      </c>
      <c r="O90" s="59">
        <f>O89/'1_MODEL_assumptions'!O$36</f>
        <v>2959092.9431080921</v>
      </c>
      <c r="P90" s="59">
        <f>P89/'1_MODEL_assumptions'!P$36</f>
        <v>3881911.0349874431</v>
      </c>
      <c r="Q90" s="59">
        <f>Q89/'1_MODEL_assumptions'!Q$36</f>
        <v>4025175.5052738348</v>
      </c>
      <c r="R90" s="59">
        <f>R89/'1_MODEL_assumptions'!R$36</f>
        <v>4133081.0955529399</v>
      </c>
      <c r="S90" s="59">
        <f>S89/'1_MODEL_assumptions'!S$36</f>
        <v>4209641.0509297401</v>
      </c>
      <c r="T90" s="59">
        <f>T89/'1_MODEL_assumptions'!T$36</f>
        <v>4258494.8497132529</v>
      </c>
      <c r="U90" s="59">
        <f>U89/'1_MODEL_assumptions'!U$36</f>
        <v>4282939.9313971708</v>
      </c>
      <c r="V90" s="59">
        <f>V89/'1_MODEL_assumptions'!V$36</f>
        <v>4285960.8729816517</v>
      </c>
      <c r="W90" s="59">
        <f>W89/'1_MODEL_assumptions'!W$36</f>
        <v>4270256.2117071915</v>
      </c>
      <c r="X90" s="59">
        <f>X89/'1_MODEL_assumptions'!X$36</f>
        <v>4238263.0972763887</v>
      </c>
      <c r="Y90" s="59">
        <f>Y89/'1_MODEL_assumptions'!Y$36</f>
        <v>4192179.9427585658</v>
      </c>
      <c r="Z90" s="59">
        <f>Z89/'1_MODEL_assumptions'!Z$36</f>
        <v>4133987.230524011</v>
      </c>
      <c r="AA90" s="59">
        <f>AA89/'1_MODEL_assumptions'!AA$36</f>
        <v>4065466.6176633933</v>
      </c>
      <c r="AB90" s="59">
        <f>AB89/'1_MODEL_assumptions'!AB$36</f>
        <v>3988218.4743433055</v>
      </c>
      <c r="AC90" s="59">
        <f>AC89/'1_MODEL_assumptions'!AC$36</f>
        <v>3903677.9783660406</v>
      </c>
      <c r="AD90" s="59">
        <f>AD89/'1_MODEL_assumptions'!AD$36</f>
        <v>3813129.8797799116</v>
      </c>
      <c r="AE90" s="59">
        <f>AE89/'1_MODEL_assumptions'!AE$36</f>
        <v>3717722.0406699032</v>
      </c>
      <c r="AF90" s="59">
        <f>AF89/'1_MODEL_assumptions'!AF$36</f>
        <v>3618477.8471951098</v>
      </c>
      <c r="AG90" s="59">
        <f>AG89/'1_MODEL_assumptions'!AG$36</f>
        <v>3516307.5834812038</v>
      </c>
      <c r="AH90" s="59">
        <f>AH89/'1_MODEL_assumptions'!AH$36</f>
        <v>3412018.8500783183</v>
      </c>
    </row>
    <row r="92" spans="2:34" x14ac:dyDescent="0.2">
      <c r="C92" s="1" t="s">
        <v>288</v>
      </c>
    </row>
    <row r="93" spans="2:34" x14ac:dyDescent="0.2">
      <c r="D93" t="s">
        <v>289</v>
      </c>
      <c r="E93" t="s">
        <v>138</v>
      </c>
      <c r="I93" s="11">
        <f t="shared" ref="I93:AG93" si="47">SUM(I24:I26)+SUM(I16:I18)</f>
        <v>704543.47606399993</v>
      </c>
      <c r="J93" s="11">
        <f t="shared" si="47"/>
        <v>1034798.2304689998</v>
      </c>
      <c r="K93" s="11">
        <f t="shared" si="47"/>
        <v>1365052.9848739998</v>
      </c>
      <c r="L93" s="11">
        <f t="shared" si="47"/>
        <v>1695307.7392789999</v>
      </c>
      <c r="M93" s="11">
        <f t="shared" si="47"/>
        <v>2025562.4936840001</v>
      </c>
      <c r="N93" s="11">
        <f t="shared" si="47"/>
        <v>1884653.7984712</v>
      </c>
      <c r="O93" s="11">
        <f t="shared" si="47"/>
        <v>2148857.6019951999</v>
      </c>
      <c r="P93" s="11">
        <f t="shared" si="47"/>
        <v>3016326.7568990006</v>
      </c>
      <c r="Q93" s="11">
        <f t="shared" si="47"/>
        <v>3346581.5113040004</v>
      </c>
      <c r="R93" s="11">
        <f t="shared" si="47"/>
        <v>3676836.2657090006</v>
      </c>
      <c r="S93" s="11">
        <f t="shared" si="47"/>
        <v>4007091.0201140004</v>
      </c>
      <c r="T93" s="11">
        <f t="shared" si="47"/>
        <v>4337345.7745190011</v>
      </c>
      <c r="U93" s="11">
        <f t="shared" si="47"/>
        <v>4667600.5289240023</v>
      </c>
      <c r="V93" s="11">
        <f t="shared" si="47"/>
        <v>4997855.2833290026</v>
      </c>
      <c r="W93" s="11">
        <f t="shared" si="47"/>
        <v>5328110.0377340019</v>
      </c>
      <c r="X93" s="11">
        <f t="shared" si="47"/>
        <v>5658364.7921390031</v>
      </c>
      <c r="Y93" s="11">
        <f t="shared" si="47"/>
        <v>5988619.5465440024</v>
      </c>
      <c r="Z93" s="11">
        <f t="shared" si="47"/>
        <v>6318874.3009490035</v>
      </c>
      <c r="AA93" s="11">
        <f t="shared" si="47"/>
        <v>6649129.0553540029</v>
      </c>
      <c r="AB93" s="11">
        <f t="shared" si="47"/>
        <v>6979383.809759004</v>
      </c>
      <c r="AC93" s="11">
        <f t="shared" si="47"/>
        <v>7309638.5641640043</v>
      </c>
      <c r="AD93" s="11">
        <f t="shared" si="47"/>
        <v>7639893.3185690045</v>
      </c>
      <c r="AE93" s="11">
        <f t="shared" si="47"/>
        <v>7970148.0729740048</v>
      </c>
      <c r="AF93" s="11">
        <f t="shared" si="47"/>
        <v>8300402.827379005</v>
      </c>
      <c r="AG93" s="11">
        <f t="shared" si="47"/>
        <v>8630657.5817840043</v>
      </c>
      <c r="AH93" s="11">
        <f t="shared" ref="AH93" si="48">SUM(AH24:AH26)+SUM(AH16:AH18)</f>
        <v>8960912.3361890074</v>
      </c>
    </row>
    <row r="94" spans="2:34" x14ac:dyDescent="0.2">
      <c r="D94" t="s">
        <v>290</v>
      </c>
      <c r="E94" t="s">
        <v>168</v>
      </c>
      <c r="G94" s="25">
        <f>SUM(I94:AH94)</f>
        <v>199428.07633467592</v>
      </c>
      <c r="I94" s="24">
        <f>I93*PARAMS!$C$36</f>
        <v>1127.2695617023999</v>
      </c>
      <c r="J94" s="24">
        <f>J93*PARAMS!$C$36</f>
        <v>1655.6771687503999</v>
      </c>
      <c r="K94" s="24">
        <f>K93*PARAMS!$C$36</f>
        <v>2184.0847757983997</v>
      </c>
      <c r="L94" s="24">
        <f>L93*PARAMS!$C$36</f>
        <v>2712.4923828463998</v>
      </c>
      <c r="M94" s="24">
        <f>M93*PARAMS!$C$36</f>
        <v>3240.8999898944003</v>
      </c>
      <c r="N94" s="24">
        <f>N93*PARAMS!$C$36</f>
        <v>3015.4460775539201</v>
      </c>
      <c r="O94" s="24">
        <f>O93*PARAMS!$C$36</f>
        <v>3438.1721631923201</v>
      </c>
      <c r="P94" s="24">
        <f>P93*PARAMS!$C$36</f>
        <v>4826.1228110384009</v>
      </c>
      <c r="Q94" s="24">
        <f>Q93*PARAMS!$C$36</f>
        <v>5354.5304180864005</v>
      </c>
      <c r="R94" s="24">
        <f>R93*PARAMS!$C$36</f>
        <v>5882.938025134401</v>
      </c>
      <c r="S94" s="24">
        <f>S93*PARAMS!$C$36</f>
        <v>6411.3456321824005</v>
      </c>
      <c r="T94" s="24">
        <f>T93*PARAMS!$C$36</f>
        <v>6939.753239230402</v>
      </c>
      <c r="U94" s="24">
        <f>U93*PARAMS!$C$36</f>
        <v>7468.1608462784043</v>
      </c>
      <c r="V94" s="24">
        <f>V93*PARAMS!$C$36</f>
        <v>7996.5684533264048</v>
      </c>
      <c r="W94" s="24">
        <f>W93*PARAMS!$C$36</f>
        <v>8524.9760603744035</v>
      </c>
      <c r="X94" s="24">
        <f>X93*PARAMS!$C$36</f>
        <v>9053.3836674224058</v>
      </c>
      <c r="Y94" s="24">
        <f>Y93*PARAMS!$C$36</f>
        <v>9581.7912744704045</v>
      </c>
      <c r="Z94" s="24">
        <f>Z93*PARAMS!$C$36</f>
        <v>10110.198881518407</v>
      </c>
      <c r="AA94" s="24">
        <f>AA93*PARAMS!$C$36</f>
        <v>10638.606488566405</v>
      </c>
      <c r="AB94" s="24">
        <f>AB93*PARAMS!$C$36</f>
        <v>11167.014095614408</v>
      </c>
      <c r="AC94" s="24">
        <f>AC93*PARAMS!$C$36</f>
        <v>11695.421702662408</v>
      </c>
      <c r="AD94" s="24">
        <f>AD93*PARAMS!$C$36</f>
        <v>12223.829309710407</v>
      </c>
      <c r="AE94" s="24">
        <f>AE93*PARAMS!$C$36</f>
        <v>12752.236916758407</v>
      </c>
      <c r="AF94" s="24">
        <f>AF93*PARAMS!$C$36</f>
        <v>13280.644523806408</v>
      </c>
      <c r="AG94" s="24">
        <f>AG93*PARAMS!$C$36</f>
        <v>13809.052130854408</v>
      </c>
      <c r="AH94" s="24">
        <f>AH93*PARAMS!$C$36</f>
        <v>14337.459737902413</v>
      </c>
    </row>
    <row r="95" spans="2:34" s="58" customFormat="1" x14ac:dyDescent="0.2">
      <c r="D95" s="58" t="s">
        <v>240</v>
      </c>
      <c r="E95" s="58" t="s">
        <v>168</v>
      </c>
      <c r="G95" s="59">
        <f>SUM(H95:AH95)</f>
        <v>72509.81743935452</v>
      </c>
      <c r="H95" s="59"/>
      <c r="I95" s="59">
        <f>I94/'1_MODEL_assumptions'!I$36</f>
        <v>1127.2695617023999</v>
      </c>
      <c r="J95" s="59">
        <f>J94/'1_MODEL_assumptions'!J$36</f>
        <v>1547.3618399536447</v>
      </c>
      <c r="K95" s="59">
        <f>K94/'1_MODEL_assumptions'!K$36</f>
        <v>1907.6642290142368</v>
      </c>
      <c r="L95" s="59">
        <f>L94/'1_MODEL_assumptions'!L$36</f>
        <v>2214.2017732001241</v>
      </c>
      <c r="M95" s="59">
        <f>M94/'1_MODEL_assumptions'!M$36</f>
        <v>2472.4670850153107</v>
      </c>
      <c r="N95" s="59">
        <f>N94/'1_MODEL_assumptions'!N$36</f>
        <v>2149.9713782741828</v>
      </c>
      <c r="O95" s="59">
        <f>O94/'1_MODEL_assumptions'!O$36</f>
        <v>2290.9992850856001</v>
      </c>
      <c r="P95" s="59">
        <f>P94/'1_MODEL_assumptions'!P$36</f>
        <v>3005.4667348775015</v>
      </c>
      <c r="Q95" s="59">
        <f>Q94/'1_MODEL_assumptions'!Q$36</f>
        <v>3116.3854539967269</v>
      </c>
      <c r="R95" s="59">
        <f>R94/'1_MODEL_assumptions'!R$36</f>
        <v>3199.9284974019515</v>
      </c>
      <c r="S95" s="59">
        <f>S94/'1_MODEL_assumptions'!S$36</f>
        <v>3259.2030137509382</v>
      </c>
      <c r="T95" s="59">
        <f>T94/'1_MODEL_assumptions'!T$36</f>
        <v>3297.0267726657844</v>
      </c>
      <c r="U95" s="59">
        <f>U94/'1_MODEL_assumptions'!U$36</f>
        <v>3315.9527292810221</v>
      </c>
      <c r="V95" s="59">
        <f>V94/'1_MODEL_assumptions'!V$36</f>
        <v>3318.2916132374889</v>
      </c>
      <c r="W95" s="59">
        <f>W94/'1_MODEL_assumptions'!W$36</f>
        <v>3306.1326954731448</v>
      </c>
      <c r="X95" s="59">
        <f>X94/'1_MODEL_assumptions'!X$36</f>
        <v>3281.3628745523997</v>
      </c>
      <c r="Y95" s="59">
        <f>Y94/'1_MODEL_assumptions'!Y$36</f>
        <v>3245.6842135286834</v>
      </c>
      <c r="Z95" s="59">
        <f>Z94/'1_MODEL_assumptions'!Z$36</f>
        <v>3200.630048387618</v>
      </c>
      <c r="AA95" s="59">
        <f>AA94/'1_MODEL_assumptions'!AA$36</f>
        <v>3147.5797799116235</v>
      </c>
      <c r="AB95" s="59">
        <f>AB94/'1_MODEL_assumptions'!AB$36</f>
        <v>3087.7724522868871</v>
      </c>
      <c r="AC95" s="59">
        <f>AC94/'1_MODEL_assumptions'!AC$36</f>
        <v>3022.3192138896979</v>
      </c>
      <c r="AD95" s="59">
        <f>AD94/'1_MODEL_assumptions'!AD$36</f>
        <v>2952.2147483946769</v>
      </c>
      <c r="AE95" s="59">
        <f>AE94/'1_MODEL_assumptions'!AE$36</f>
        <v>2878.3477575988391</v>
      </c>
      <c r="AF95" s="59">
        <f>AF94/'1_MODEL_assumptions'!AF$36</f>
        <v>2801.5105711126203</v>
      </c>
      <c r="AG95" s="59">
        <f>AG94/'1_MODEL_assumptions'!AG$36</f>
        <v>2722.4079522946704</v>
      </c>
      <c r="AH95" s="59">
        <f>AH94/'1_MODEL_assumptions'!AH$36</f>
        <v>2641.665164466744</v>
      </c>
    </row>
    <row r="97" spans="2:34" x14ac:dyDescent="0.2">
      <c r="B97" s="1" t="s">
        <v>251</v>
      </c>
    </row>
    <row r="98" spans="2:34" x14ac:dyDescent="0.2">
      <c r="C98" s="1" t="s">
        <v>154</v>
      </c>
    </row>
    <row r="99" spans="2:34" x14ac:dyDescent="0.2">
      <c r="D99" t="s">
        <v>252</v>
      </c>
      <c r="E99" t="s">
        <v>138</v>
      </c>
      <c r="I99" s="12">
        <f t="shared" ref="I99:AG99" si="49">(SUM(I21:I23)+SUM(I13:I15))</f>
        <v>1205290.1923199999</v>
      </c>
      <c r="J99" s="12">
        <f t="shared" si="49"/>
        <v>1770269.96997</v>
      </c>
      <c r="K99" s="12">
        <f t="shared" si="49"/>
        <v>2335249.74762</v>
      </c>
      <c r="L99" s="12">
        <f t="shared" si="49"/>
        <v>2900229.5252699996</v>
      </c>
      <c r="M99" s="12">
        <f t="shared" si="49"/>
        <v>3465209.3029200002</v>
      </c>
      <c r="N99" s="12">
        <f t="shared" si="49"/>
        <v>3224151.2644560002</v>
      </c>
      <c r="O99" s="12">
        <f t="shared" si="49"/>
        <v>3676135.0865759999</v>
      </c>
      <c r="P99" s="12">
        <f t="shared" si="49"/>
        <v>5160148.6358700003</v>
      </c>
      <c r="Q99" s="12">
        <f t="shared" si="49"/>
        <v>5725128.4135200009</v>
      </c>
      <c r="R99" s="12">
        <f t="shared" si="49"/>
        <v>6290108.1911700014</v>
      </c>
      <c r="S99" s="12">
        <f t="shared" si="49"/>
        <v>6855087.9688200019</v>
      </c>
      <c r="T99" s="12">
        <f t="shared" si="49"/>
        <v>7420067.7464700025</v>
      </c>
      <c r="U99" s="12">
        <f t="shared" si="49"/>
        <v>7985047.524120003</v>
      </c>
      <c r="V99" s="12">
        <f t="shared" si="49"/>
        <v>8550027.3017700035</v>
      </c>
      <c r="W99" s="12">
        <f t="shared" si="49"/>
        <v>9115007.079420004</v>
      </c>
      <c r="X99" s="12">
        <f t="shared" si="49"/>
        <v>9679986.8570700046</v>
      </c>
      <c r="Y99" s="12">
        <f t="shared" si="49"/>
        <v>10244966.634720005</v>
      </c>
      <c r="Z99" s="12">
        <f t="shared" si="49"/>
        <v>10809946.412370004</v>
      </c>
      <c r="AA99" s="12">
        <f t="shared" si="49"/>
        <v>11374926.190020004</v>
      </c>
      <c r="AB99" s="12">
        <f t="shared" si="49"/>
        <v>11939905.967670007</v>
      </c>
      <c r="AC99" s="12">
        <f t="shared" si="49"/>
        <v>12504885.745320007</v>
      </c>
      <c r="AD99" s="12">
        <f t="shared" si="49"/>
        <v>13069865.522970006</v>
      </c>
      <c r="AE99" s="12">
        <f t="shared" si="49"/>
        <v>13634845.300620008</v>
      </c>
      <c r="AF99" s="12">
        <f t="shared" si="49"/>
        <v>14199825.078270011</v>
      </c>
      <c r="AG99" s="12">
        <f t="shared" si="49"/>
        <v>14764804.855920009</v>
      </c>
      <c r="AH99" s="12">
        <f t="shared" ref="AH99" si="50">(SUM(AH21:AH23)+SUM(AH13:AH15))</f>
        <v>15329784.63357001</v>
      </c>
    </row>
    <row r="100" spans="2:34" x14ac:dyDescent="0.2">
      <c r="D100" t="s">
        <v>253</v>
      </c>
      <c r="E100" t="s">
        <v>254</v>
      </c>
      <c r="I100" s="12">
        <f t="shared" ref="I100:AG100" si="51">I99/truckmpg</f>
        <v>204286.47327457624</v>
      </c>
      <c r="J100" s="12">
        <f t="shared" si="51"/>
        <v>300045.75762203388</v>
      </c>
      <c r="K100" s="12">
        <f t="shared" si="51"/>
        <v>395805.04196949152</v>
      </c>
      <c r="L100" s="12">
        <f t="shared" si="51"/>
        <v>491564.32631694904</v>
      </c>
      <c r="M100" s="12">
        <f t="shared" si="51"/>
        <v>587323.61066440679</v>
      </c>
      <c r="N100" s="12">
        <f t="shared" si="51"/>
        <v>546466.31600949157</v>
      </c>
      <c r="O100" s="12">
        <f t="shared" si="51"/>
        <v>623073.74348745751</v>
      </c>
      <c r="P100" s="12">
        <f t="shared" si="51"/>
        <v>874601.46370677964</v>
      </c>
      <c r="Q100" s="12">
        <f t="shared" si="51"/>
        <v>970360.74805423734</v>
      </c>
      <c r="R100" s="12">
        <f t="shared" si="51"/>
        <v>1066120.0324016951</v>
      </c>
      <c r="S100" s="12">
        <f t="shared" si="51"/>
        <v>1161879.3167491527</v>
      </c>
      <c r="T100" s="12">
        <f t="shared" si="51"/>
        <v>1257638.6010966105</v>
      </c>
      <c r="U100" s="12">
        <f t="shared" si="51"/>
        <v>1353397.8854440681</v>
      </c>
      <c r="V100" s="12">
        <f t="shared" si="51"/>
        <v>1449157.1697915259</v>
      </c>
      <c r="W100" s="12">
        <f t="shared" si="51"/>
        <v>1544916.4541389837</v>
      </c>
      <c r="X100" s="12">
        <f t="shared" si="51"/>
        <v>1640675.7384864413</v>
      </c>
      <c r="Y100" s="12">
        <f t="shared" si="51"/>
        <v>1736435.0228338991</v>
      </c>
      <c r="Z100" s="12">
        <f t="shared" si="51"/>
        <v>1832194.3071813565</v>
      </c>
      <c r="AA100" s="12">
        <f t="shared" si="51"/>
        <v>1927953.5915288143</v>
      </c>
      <c r="AB100" s="12">
        <f t="shared" si="51"/>
        <v>2023712.8758762721</v>
      </c>
      <c r="AC100" s="12">
        <f t="shared" si="51"/>
        <v>2119472.1602237299</v>
      </c>
      <c r="AD100" s="12">
        <f t="shared" si="51"/>
        <v>2215231.4445711873</v>
      </c>
      <c r="AE100" s="12">
        <f t="shared" si="51"/>
        <v>2310990.7289186455</v>
      </c>
      <c r="AF100" s="12">
        <f t="shared" si="51"/>
        <v>2406750.0132661033</v>
      </c>
      <c r="AG100" s="12">
        <f t="shared" si="51"/>
        <v>2502509.2976135607</v>
      </c>
      <c r="AH100" s="12">
        <f t="shared" ref="AH100" si="52">AH99/truckmpg</f>
        <v>2598268.5819610185</v>
      </c>
    </row>
    <row r="101" spans="2:34" x14ac:dyDescent="0.2">
      <c r="D101" t="str">
        <f>CONCATENATE(PARAMS!B25," emissions reduction")</f>
        <v xml:space="preserve">   NOx emissions reduction</v>
      </c>
      <c r="E101" t="s">
        <v>263</v>
      </c>
      <c r="G101" s="31">
        <f>SUM(H101:AH101)</f>
        <v>1076.9607808481644</v>
      </c>
      <c r="I101" s="12">
        <f>I$99*PARAMS!$C25/PARAMS!$C$64</f>
        <v>6.0875335595176372</v>
      </c>
      <c r="J101" s="12">
        <f>J$99*PARAMS!$C25/PARAMS!$C$64</f>
        <v>8.9410649155415296</v>
      </c>
      <c r="K101" s="12">
        <f>K$99*PARAMS!$C25/PARAMS!$C$64</f>
        <v>11.794596271565423</v>
      </c>
      <c r="L101" s="12">
        <f>L$99*PARAMS!$C25/PARAMS!$C$64</f>
        <v>14.648127627589314</v>
      </c>
      <c r="M101" s="12">
        <f>M$99*PARAMS!$C25/PARAMS!$C$64</f>
        <v>17.501658983613208</v>
      </c>
      <c r="N101" s="12">
        <f>N$99*PARAMS!$C25/PARAMS!$C$64</f>
        <v>16.284152271709679</v>
      </c>
      <c r="O101" s="12">
        <f>O$99*PARAMS!$C25/PARAMS!$C$64</f>
        <v>18.566977356528792</v>
      </c>
      <c r="P101" s="12">
        <f>P$99*PARAMS!$C25/PARAMS!$C$64</f>
        <v>26.062253051684891</v>
      </c>
      <c r="Q101" s="12">
        <f>Q$99*PARAMS!$C25/PARAMS!$C$64</f>
        <v>28.915784407708781</v>
      </c>
      <c r="R101" s="12">
        <f>R$99*PARAMS!$C25/PARAMS!$C$64</f>
        <v>31.769315763732678</v>
      </c>
      <c r="S101" s="12">
        <f>S$99*PARAMS!$C25/PARAMS!$C$64</f>
        <v>34.622847119756571</v>
      </c>
      <c r="T101" s="12">
        <f>T$99*PARAMS!$C25/PARAMS!$C$64</f>
        <v>37.476378475780464</v>
      </c>
      <c r="U101" s="12">
        <f>U$99*PARAMS!$C25/PARAMS!$C$64</f>
        <v>40.329909831804365</v>
      </c>
      <c r="V101" s="12">
        <f>V$99*PARAMS!$C25/PARAMS!$C$64</f>
        <v>43.183441187828258</v>
      </c>
      <c r="W101" s="12">
        <f>W$99*PARAMS!$C25/PARAMS!$C$64</f>
        <v>46.036972543852158</v>
      </c>
      <c r="X101" s="12">
        <f>X$99*PARAMS!$C25/PARAMS!$C$64</f>
        <v>48.890503899876052</v>
      </c>
      <c r="Y101" s="12">
        <f>Y$99*PARAMS!$C25/PARAMS!$C$64</f>
        <v>51.744035255899945</v>
      </c>
      <c r="Z101" s="12">
        <f>Z$99*PARAMS!$C25/PARAMS!$C$64</f>
        <v>54.597566611923831</v>
      </c>
      <c r="AA101" s="12">
        <f>AA$99*PARAMS!$C25/PARAMS!$C$64</f>
        <v>57.451097967947724</v>
      </c>
      <c r="AB101" s="12">
        <f>AB$99*PARAMS!$C25/PARAMS!$C$64</f>
        <v>60.304629323971632</v>
      </c>
      <c r="AC101" s="12">
        <f>AC$99*PARAMS!$C25/PARAMS!$C$64</f>
        <v>63.158160679995525</v>
      </c>
      <c r="AD101" s="12">
        <f>AD$99*PARAMS!$C25/PARAMS!$C$64</f>
        <v>66.011692036019411</v>
      </c>
      <c r="AE101" s="12">
        <f>AE$99*PARAMS!$C25/PARAMS!$C$64</f>
        <v>68.865223392043319</v>
      </c>
      <c r="AF101" s="12">
        <f>AF$99*PARAMS!$C25/PARAMS!$C$64</f>
        <v>71.718754748067227</v>
      </c>
      <c r="AG101" s="12">
        <f>AG$99*PARAMS!$C25/PARAMS!$C$64</f>
        <v>74.57228610409112</v>
      </c>
      <c r="AH101" s="12">
        <f>AH$99*PARAMS!$C25/PARAMS!$C$64</f>
        <v>77.425817460114999</v>
      </c>
    </row>
    <row r="102" spans="2:34" x14ac:dyDescent="0.2">
      <c r="D102" t="str">
        <f>CONCATENATE(PARAMS!B26," emissions reduction")</f>
        <v xml:space="preserve">   VOCs emissions reduction</v>
      </c>
      <c r="E102" t="s">
        <v>263</v>
      </c>
      <c r="G102" s="31">
        <f>SUM(H102:AH102)</f>
        <v>95.217445234857038</v>
      </c>
      <c r="I102" s="12">
        <f>I$99*PARAMS!$C26/PARAMS!$C$64</f>
        <v>0.53821773608341406</v>
      </c>
      <c r="J102" s="12">
        <f>J$99*PARAMS!$C26/PARAMS!$C$64</f>
        <v>0.79050729987251445</v>
      </c>
      <c r="K102" s="12">
        <f>K$99*PARAMS!$C26/PARAMS!$C$64</f>
        <v>1.0427968636616147</v>
      </c>
      <c r="L102" s="12">
        <f>L$99*PARAMS!$C26/PARAMS!$C$64</f>
        <v>1.295086427450715</v>
      </c>
      <c r="M102" s="12">
        <f>M$99*PARAMS!$C26/PARAMS!$C$64</f>
        <v>1.5473759912398157</v>
      </c>
      <c r="N102" s="12">
        <f>N$99*PARAMS!$C26/PARAMS!$C$64</f>
        <v>1.4397324440231329</v>
      </c>
      <c r="O102" s="12">
        <f>O$99*PARAMS!$C26/PARAMS!$C$64</f>
        <v>1.641564095054413</v>
      </c>
      <c r="P102" s="12">
        <f>P$99*PARAMS!$C26/PARAMS!$C$64</f>
        <v>2.3042446826071168</v>
      </c>
      <c r="Q102" s="12">
        <f>Q$99*PARAMS!$C26/PARAMS!$C$64</f>
        <v>2.5565342463962173</v>
      </c>
      <c r="R102" s="12">
        <f>R$99*PARAMS!$C26/PARAMS!$C$64</f>
        <v>2.8088238101853182</v>
      </c>
      <c r="S102" s="12">
        <f>S$99*PARAMS!$C26/PARAMS!$C$64</f>
        <v>3.0611133739744183</v>
      </c>
      <c r="T102" s="12">
        <f>T$99*PARAMS!$C26/PARAMS!$C$64</f>
        <v>3.3134029377635192</v>
      </c>
      <c r="U102" s="12">
        <f>U$99*PARAMS!$C26/PARAMS!$C$64</f>
        <v>3.5656925015526197</v>
      </c>
      <c r="V102" s="12">
        <f>V$99*PARAMS!$C26/PARAMS!$C$64</f>
        <v>3.8179820653417207</v>
      </c>
      <c r="W102" s="12">
        <f>W$99*PARAMS!$C26/PARAMS!$C$64</f>
        <v>4.0702716291308212</v>
      </c>
      <c r="X102" s="12">
        <f>X$99*PARAMS!$C26/PARAMS!$C$64</f>
        <v>4.3225611929199221</v>
      </c>
      <c r="Y102" s="12">
        <f>Y$99*PARAMS!$C26/PARAMS!$C$64</f>
        <v>4.5748507567090222</v>
      </c>
      <c r="Z102" s="12">
        <f>Z$99*PARAMS!$C26/PARAMS!$C$64</f>
        <v>4.8271403204981223</v>
      </c>
      <c r="AA102" s="12">
        <f>AA$99*PARAMS!$C26/PARAMS!$C$64</f>
        <v>5.0794298842872223</v>
      </c>
      <c r="AB102" s="12">
        <f>AB$99*PARAMS!$C26/PARAMS!$C$64</f>
        <v>5.3317194480763233</v>
      </c>
      <c r="AC102" s="12">
        <f>AC$99*PARAMS!$C26/PARAMS!$C$64</f>
        <v>5.5840090118654242</v>
      </c>
      <c r="AD102" s="12">
        <f>AD$99*PARAMS!$C26/PARAMS!$C$64</f>
        <v>5.8362985756545243</v>
      </c>
      <c r="AE102" s="12">
        <f>AE$99*PARAMS!$C26/PARAMS!$C$64</f>
        <v>6.0885881394436261</v>
      </c>
      <c r="AF102" s="12">
        <f>AF$99*PARAMS!$C26/PARAMS!$C$64</f>
        <v>6.340877703232727</v>
      </c>
      <c r="AG102" s="12">
        <f>AG$99*PARAMS!$C26/PARAMS!$C$64</f>
        <v>6.5931672670218262</v>
      </c>
      <c r="AH102" s="12">
        <f>AH$99*PARAMS!$C26/PARAMS!$C$64</f>
        <v>6.845456830810928</v>
      </c>
    </row>
    <row r="103" spans="2:34" x14ac:dyDescent="0.2">
      <c r="D103" t="str">
        <f>CONCATENATE(PARAMS!B27," emissions reduction")</f>
        <v xml:space="preserve">   PM2.5 emissions reduction</v>
      </c>
      <c r="E103" t="s">
        <v>263</v>
      </c>
      <c r="G103" s="31">
        <f>SUM(H103:AH103)</f>
        <v>7.7800479814212986</v>
      </c>
      <c r="I103" s="12">
        <f>I$99*PARAMS!$C27/PARAMS!$C$64</f>
        <v>4.3976813291436684E-2</v>
      </c>
      <c r="J103" s="12">
        <f>J$99*PARAMS!$C27/PARAMS!$C$64</f>
        <v>6.4590944521797644E-2</v>
      </c>
      <c r="K103" s="12">
        <f>K$99*PARAMS!$C27/PARAMS!$C$64</f>
        <v>8.5205075752158591E-2</v>
      </c>
      <c r="L103" s="12">
        <f>L$99*PARAMS!$C27/PARAMS!$C$64</f>
        <v>0.10581920698251954</v>
      </c>
      <c r="M103" s="12">
        <f>M$99*PARAMS!$C27/PARAMS!$C$64</f>
        <v>0.1264333382128805</v>
      </c>
      <c r="N103" s="12">
        <f>N$99*PARAMS!$C27/PARAMS!$C$64</f>
        <v>0.11763797555459315</v>
      </c>
      <c r="O103" s="12">
        <f>O$99*PARAMS!$C27/PARAMS!$C$64</f>
        <v>0.1341292805388819</v>
      </c>
      <c r="P103" s="12">
        <f>P$99*PARAMS!$C27/PARAMS!$C$64</f>
        <v>0.18827573190396335</v>
      </c>
      <c r="Q103" s="12">
        <f>Q$99*PARAMS!$C27/PARAMS!$C$64</f>
        <v>0.20888986313432431</v>
      </c>
      <c r="R103" s="12">
        <f>R$99*PARAMS!$C27/PARAMS!$C$64</f>
        <v>0.2295039943646853</v>
      </c>
      <c r="S103" s="12">
        <f>S$99*PARAMS!$C27/PARAMS!$C$64</f>
        <v>0.25011812559504626</v>
      </c>
      <c r="T103" s="12">
        <f>T$99*PARAMS!$C27/PARAMS!$C$64</f>
        <v>0.27073225682540725</v>
      </c>
      <c r="U103" s="12">
        <f>U$99*PARAMS!$C27/PARAMS!$C$64</f>
        <v>0.29134638805576818</v>
      </c>
      <c r="V103" s="12">
        <f>V$99*PARAMS!$C27/PARAMS!$C$64</f>
        <v>0.31196051928612917</v>
      </c>
      <c r="W103" s="12">
        <f>W$99*PARAMS!$C27/PARAMS!$C$64</f>
        <v>0.3325746505164901</v>
      </c>
      <c r="X103" s="12">
        <f>X$99*PARAMS!$C27/PARAMS!$C$64</f>
        <v>0.35318878174685109</v>
      </c>
      <c r="Y103" s="12">
        <f>Y$99*PARAMS!$C27/PARAMS!$C$64</f>
        <v>0.37380291297721208</v>
      </c>
      <c r="Z103" s="12">
        <f>Z$99*PARAMS!$C27/PARAMS!$C$64</f>
        <v>0.39441704420757295</v>
      </c>
      <c r="AA103" s="12">
        <f>AA$99*PARAMS!$C27/PARAMS!$C$64</f>
        <v>0.41503117543793394</v>
      </c>
      <c r="AB103" s="12">
        <f>AB$99*PARAMS!$C27/PARAMS!$C$64</f>
        <v>0.43564530666829498</v>
      </c>
      <c r="AC103" s="12">
        <f>AC$99*PARAMS!$C27/PARAMS!$C$64</f>
        <v>0.45625943789865597</v>
      </c>
      <c r="AD103" s="12">
        <f>AD$99*PARAMS!$C27/PARAMS!$C$64</f>
        <v>0.47687356912901685</v>
      </c>
      <c r="AE103" s="12">
        <f>AE$99*PARAMS!$C27/PARAMS!$C$64</f>
        <v>0.49748770035937789</v>
      </c>
      <c r="AF103" s="12">
        <f>AF$99*PARAMS!$C27/PARAMS!$C$64</f>
        <v>0.51810183158973899</v>
      </c>
      <c r="AG103" s="12">
        <f>AG$99*PARAMS!$C27/PARAMS!$C$64</f>
        <v>0.53871596282009981</v>
      </c>
      <c r="AH103" s="12">
        <f>AH$99*PARAMS!$C27/PARAMS!$C$64</f>
        <v>0.55933009405046086</v>
      </c>
    </row>
    <row r="104" spans="2:34" x14ac:dyDescent="0.2">
      <c r="D104" t="str">
        <f>CONCATENATE(PARAMS!B28," emissions reduction")</f>
        <v xml:space="preserve">   SO2 emissions reduction</v>
      </c>
      <c r="E104" t="s">
        <v>263</v>
      </c>
      <c r="G104" s="31">
        <f>SUM(H104:AH104)</f>
        <v>3.5021968254736358</v>
      </c>
      <c r="I104" s="12">
        <f>I$99*PARAMS!$C28/PARAMS!$C$64</f>
        <v>1.9796209004302321E-2</v>
      </c>
      <c r="J104" s="12">
        <f>J$99*PARAMS!$C28/PARAMS!$C$64</f>
        <v>2.9075681975069032E-2</v>
      </c>
      <c r="K104" s="12">
        <f>K$99*PARAMS!$C28/PARAMS!$C$64</f>
        <v>3.8355154945835739E-2</v>
      </c>
      <c r="L104" s="12">
        <f>L$99*PARAMS!$C28/PARAMS!$C$64</f>
        <v>4.7634627916602452E-2</v>
      </c>
      <c r="M104" s="12">
        <f>M$99*PARAMS!$C28/PARAMS!$C$64</f>
        <v>5.6914100887369173E-2</v>
      </c>
      <c r="N104" s="12">
        <f>N$99*PARAMS!$C28/PARAMS!$C$64</f>
        <v>5.295485908650871E-2</v>
      </c>
      <c r="O104" s="12">
        <f>O$99*PARAMS!$C28/PARAMS!$C$64</f>
        <v>6.0378437463122075E-2</v>
      </c>
      <c r="P104" s="12">
        <f>P$99*PARAMS!$C28/PARAMS!$C$64</f>
        <v>8.4752519799669301E-2</v>
      </c>
      <c r="Q104" s="12">
        <f>Q$99*PARAMS!$C28/PARAMS!$C$64</f>
        <v>9.4031992770436029E-2</v>
      </c>
      <c r="R104" s="12">
        <f>R$99*PARAMS!$C28/PARAMS!$C$64</f>
        <v>0.10331146574120274</v>
      </c>
      <c r="S104" s="12">
        <f>S$99*PARAMS!$C28/PARAMS!$C$64</f>
        <v>0.11259093871196947</v>
      </c>
      <c r="T104" s="12">
        <f>T$99*PARAMS!$C28/PARAMS!$C$64</f>
        <v>0.1218704116827362</v>
      </c>
      <c r="U104" s="12">
        <f>U$99*PARAMS!$C28/PARAMS!$C$64</f>
        <v>0.13114988465350291</v>
      </c>
      <c r="V104" s="12">
        <f>V$99*PARAMS!$C28/PARAMS!$C$64</f>
        <v>0.14042935762426964</v>
      </c>
      <c r="W104" s="12">
        <f>W$99*PARAMS!$C28/PARAMS!$C$64</f>
        <v>0.14970883059503637</v>
      </c>
      <c r="X104" s="12">
        <f>X$99*PARAMS!$C28/PARAMS!$C$64</f>
        <v>0.15898830356580307</v>
      </c>
      <c r="Y104" s="12">
        <f>Y$99*PARAMS!$C28/PARAMS!$C$64</f>
        <v>0.1682677765365698</v>
      </c>
      <c r="Z104" s="12">
        <f>Z$99*PARAMS!$C28/PARAMS!$C$64</f>
        <v>0.1775472495073365</v>
      </c>
      <c r="AA104" s="12">
        <f>AA$99*PARAMS!$C28/PARAMS!$C$64</f>
        <v>0.1868267224781032</v>
      </c>
      <c r="AB104" s="12">
        <f>AB$99*PARAMS!$C28/PARAMS!$C$64</f>
        <v>0.19610619544886995</v>
      </c>
      <c r="AC104" s="12">
        <f>AC$99*PARAMS!$C28/PARAMS!$C$64</f>
        <v>0.20538566841963668</v>
      </c>
      <c r="AD104" s="12">
        <f>AD$99*PARAMS!$C28/PARAMS!$C$64</f>
        <v>0.21466514139040338</v>
      </c>
      <c r="AE104" s="12">
        <f>AE$99*PARAMS!$C28/PARAMS!$C$64</f>
        <v>0.22394461436117014</v>
      </c>
      <c r="AF104" s="12">
        <f>AF$99*PARAMS!$C28/PARAMS!$C$64</f>
        <v>0.23322408733193689</v>
      </c>
      <c r="AG104" s="12">
        <f>AG$99*PARAMS!$C28/PARAMS!$C$64</f>
        <v>0.24250356030270356</v>
      </c>
      <c r="AH104" s="12">
        <f>AH$99*PARAMS!$C28/PARAMS!$C$64</f>
        <v>0.25178303327347029</v>
      </c>
    </row>
    <row r="105" spans="2:34" x14ac:dyDescent="0.2">
      <c r="D105" t="str">
        <f>CONCATENATE(PARAMS!B29," emissions reduction")</f>
        <v xml:space="preserve">   CO2 emissions reduction</v>
      </c>
      <c r="E105" t="s">
        <v>263</v>
      </c>
      <c r="G105" s="31">
        <f>SUM(H105:AH105)</f>
        <v>404777.30387571111</v>
      </c>
      <c r="I105" s="12">
        <f>(I100*PARAMS!$C$29)/2000</f>
        <v>2288.0085006752533</v>
      </c>
      <c r="J105" s="12">
        <f>(J100*PARAMS!$C$29)/2000</f>
        <v>3360.5124853667794</v>
      </c>
      <c r="K105" s="12">
        <f>(K100*PARAMS!$C$29)/2000</f>
        <v>4433.0164700583045</v>
      </c>
      <c r="L105" s="12">
        <f>(L100*PARAMS!$C$29)/2000</f>
        <v>5505.5204547498288</v>
      </c>
      <c r="M105" s="12">
        <f>(M100*PARAMS!$C$29)/2000</f>
        <v>6578.0244394413558</v>
      </c>
      <c r="N105" s="12">
        <f>(N100*PARAMS!$C$29)/2000</f>
        <v>6120.4227393063056</v>
      </c>
      <c r="O105" s="12">
        <f>(O100*PARAMS!$C$29)/2000</f>
        <v>6978.4259270595239</v>
      </c>
      <c r="P105" s="12">
        <f>(P100*PARAMS!$C$29)/2000</f>
        <v>9795.5363935159312</v>
      </c>
      <c r="Q105" s="12">
        <f>(Q100*PARAMS!$C$29)/2000</f>
        <v>10868.040378207459</v>
      </c>
      <c r="R105" s="12">
        <f>(R100*PARAMS!$C$29)/2000</f>
        <v>11940.544362898985</v>
      </c>
      <c r="S105" s="12">
        <f>(S100*PARAMS!$C$29)/2000</f>
        <v>13013.048347590509</v>
      </c>
      <c r="T105" s="12">
        <f>(T100*PARAMS!$C$29)/2000</f>
        <v>14085.552332282037</v>
      </c>
      <c r="U105" s="12">
        <f>(U100*PARAMS!$C$29)/2000</f>
        <v>15158.056316973561</v>
      </c>
      <c r="V105" s="12">
        <f>(V100*PARAMS!$C$29)/2000</f>
        <v>16230.560301665089</v>
      </c>
      <c r="W105" s="12">
        <f>(W100*PARAMS!$C$29)/2000</f>
        <v>17303.064286356617</v>
      </c>
      <c r="X105" s="12">
        <f>(X100*PARAMS!$C$29)/2000</f>
        <v>18375.568271048141</v>
      </c>
      <c r="Y105" s="12">
        <f>(Y100*PARAMS!$C$29)/2000</f>
        <v>19448.072255739669</v>
      </c>
      <c r="Z105" s="12">
        <f>(Z100*PARAMS!$C$29)/2000</f>
        <v>20520.57624043119</v>
      </c>
      <c r="AA105" s="12">
        <f>(AA100*PARAMS!$C$29)/2000</f>
        <v>21593.080225122721</v>
      </c>
      <c r="AB105" s="12">
        <f>(AB100*PARAMS!$C$29)/2000</f>
        <v>22665.584209814246</v>
      </c>
      <c r="AC105" s="12">
        <f>(AC100*PARAMS!$C$29)/2000</f>
        <v>23738.088194505774</v>
      </c>
      <c r="AD105" s="12">
        <f>(AD100*PARAMS!$C$29)/2000</f>
        <v>24810.592179197298</v>
      </c>
      <c r="AE105" s="12">
        <f>(AE100*PARAMS!$C$29)/2000</f>
        <v>25883.096163888826</v>
      </c>
      <c r="AF105" s="12">
        <f>(AF100*PARAMS!$C$29)/2000</f>
        <v>26955.600148580357</v>
      </c>
      <c r="AG105" s="12">
        <f>(AG100*PARAMS!$C$29)/2000</f>
        <v>28028.104133271878</v>
      </c>
      <c r="AH105" s="12">
        <f>(AH100*PARAMS!$C$29)/2000</f>
        <v>29100.608117963406</v>
      </c>
    </row>
    <row r="106" spans="2:34" x14ac:dyDescent="0.2">
      <c r="D106" t="s">
        <v>275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2:34" x14ac:dyDescent="0.2">
      <c r="D107" t="str">
        <f>CONCATENATE(D101,": $ Savings")</f>
        <v xml:space="preserve">   NOx emissions reduction: $ Savings</v>
      </c>
      <c r="E107" t="s">
        <v>168</v>
      </c>
      <c r="G107" s="25">
        <f>SUM(I107:AH107)</f>
        <v>8938774.4810397662</v>
      </c>
      <c r="I107" s="24">
        <f>I101*PARAMS!$C31</f>
        <v>50526.528543996392</v>
      </c>
      <c r="J107" s="24">
        <f>J101*PARAMS!$C31</f>
        <v>74210.838798994693</v>
      </c>
      <c r="K107" s="24">
        <f>K101*PARAMS!$C31</f>
        <v>97895.149053993009</v>
      </c>
      <c r="L107" s="24">
        <f>L101*PARAMS!$C31</f>
        <v>121579.45930899131</v>
      </c>
      <c r="M107" s="24">
        <f>M101*PARAMS!$C31</f>
        <v>145263.76956398963</v>
      </c>
      <c r="N107" s="24">
        <f>N101*PARAMS!$C31</f>
        <v>135158.46385519035</v>
      </c>
      <c r="O107" s="24">
        <f>O101*PARAMS!$C31</f>
        <v>154105.91205918897</v>
      </c>
      <c r="P107" s="24">
        <f>P101*PARAMS!$C31</f>
        <v>216316.70032898459</v>
      </c>
      <c r="Q107" s="24">
        <f>Q101*PARAMS!$C31</f>
        <v>240001.01058398289</v>
      </c>
      <c r="R107" s="24">
        <f>R101*PARAMS!$C31</f>
        <v>263685.32083898125</v>
      </c>
      <c r="S107" s="24">
        <f>S101*PARAMS!$C31</f>
        <v>287369.63109397952</v>
      </c>
      <c r="T107" s="24">
        <f>T101*PARAMS!$C31</f>
        <v>311053.94134897785</v>
      </c>
      <c r="U107" s="24">
        <f>U101*PARAMS!$C31</f>
        <v>334738.25160397624</v>
      </c>
      <c r="V107" s="24">
        <f>V101*PARAMS!$C31</f>
        <v>358422.56185897451</v>
      </c>
      <c r="W107" s="24">
        <f>W101*PARAMS!$C31</f>
        <v>382106.8721139729</v>
      </c>
      <c r="X107" s="24">
        <f>X101*PARAMS!$C31</f>
        <v>405791.18236897123</v>
      </c>
      <c r="Y107" s="24">
        <f>Y101*PARAMS!$C31</f>
        <v>429475.49262396956</v>
      </c>
      <c r="Z107" s="24">
        <f>Z101*PARAMS!$C31</f>
        <v>453159.80287896778</v>
      </c>
      <c r="AA107" s="24">
        <f>AA101*PARAMS!$C31</f>
        <v>476844.11313396611</v>
      </c>
      <c r="AB107" s="24">
        <f>AB101*PARAMS!$C31</f>
        <v>500528.42338896455</v>
      </c>
      <c r="AC107" s="24">
        <f>AC101*PARAMS!$C31</f>
        <v>524212.73364396289</v>
      </c>
      <c r="AD107" s="24">
        <f>AD101*PARAMS!$C31</f>
        <v>547897.04389896116</v>
      </c>
      <c r="AE107" s="24">
        <f>AE101*PARAMS!$C31</f>
        <v>571581.35415395955</v>
      </c>
      <c r="AF107" s="24">
        <f>AF101*PARAMS!$C31</f>
        <v>595265.66440895793</v>
      </c>
      <c r="AG107" s="24">
        <f>AG101*PARAMS!$C31</f>
        <v>618949.97466395632</v>
      </c>
      <c r="AH107" s="24">
        <f>AH101*PARAMS!$C31</f>
        <v>642634.28491895448</v>
      </c>
    </row>
    <row r="108" spans="2:34" x14ac:dyDescent="0.2">
      <c r="D108" t="str">
        <f>CONCATENATE(D102,": $ Savings")</f>
        <v xml:space="preserve">   VOCs emissions reduction: $ Savings</v>
      </c>
      <c r="E108" t="s">
        <v>168</v>
      </c>
      <c r="G108" s="25">
        <f>SUM(I108:AH108)</f>
        <v>190434.8904697141</v>
      </c>
      <c r="I108" s="24">
        <f>I102*PARAMS!$C32</f>
        <v>1076.435472166828</v>
      </c>
      <c r="J108" s="24">
        <f>J102*PARAMS!$C32</f>
        <v>1581.0145997450288</v>
      </c>
      <c r="K108" s="24">
        <f>K102*PARAMS!$C32</f>
        <v>2085.5937273232294</v>
      </c>
      <c r="L108" s="24">
        <f>L102*PARAMS!$C32</f>
        <v>2590.1728549014301</v>
      </c>
      <c r="M108" s="24">
        <f>M102*PARAMS!$C32</f>
        <v>3094.7519824796314</v>
      </c>
      <c r="N108" s="24">
        <f>N102*PARAMS!$C32</f>
        <v>2879.464888046266</v>
      </c>
      <c r="O108" s="24">
        <f>O102*PARAMS!$C32</f>
        <v>3283.1281901088259</v>
      </c>
      <c r="P108" s="24">
        <f>P102*PARAMS!$C32</f>
        <v>4608.4893652142337</v>
      </c>
      <c r="Q108" s="24">
        <f>Q102*PARAMS!$C32</f>
        <v>5113.0684927924349</v>
      </c>
      <c r="R108" s="24">
        <f>R102*PARAMS!$C32</f>
        <v>5617.6476203706361</v>
      </c>
      <c r="S108" s="24">
        <f>S102*PARAMS!$C32</f>
        <v>6122.2267479488364</v>
      </c>
      <c r="T108" s="24">
        <f>T102*PARAMS!$C32</f>
        <v>6626.8058755270386</v>
      </c>
      <c r="U108" s="24">
        <f>U102*PARAMS!$C32</f>
        <v>7131.3850031052398</v>
      </c>
      <c r="V108" s="24">
        <f>V102*PARAMS!$C32</f>
        <v>7635.964130683441</v>
      </c>
      <c r="W108" s="24">
        <f>W102*PARAMS!$C32</f>
        <v>8140.5432582616422</v>
      </c>
      <c r="X108" s="24">
        <f>X102*PARAMS!$C32</f>
        <v>8645.1223858398444</v>
      </c>
      <c r="Y108" s="24">
        <f>Y102*PARAMS!$C32</f>
        <v>9149.7015134180438</v>
      </c>
      <c r="Z108" s="24">
        <f>Z102*PARAMS!$C32</f>
        <v>9654.280640996245</v>
      </c>
      <c r="AA108" s="24">
        <f>AA102*PARAMS!$C32</f>
        <v>10158.859768574444</v>
      </c>
      <c r="AB108" s="24">
        <f>AB102*PARAMS!$C32</f>
        <v>10663.438896152646</v>
      </c>
      <c r="AC108" s="24">
        <f>AC102*PARAMS!$C32</f>
        <v>11168.018023730849</v>
      </c>
      <c r="AD108" s="24">
        <f>AD102*PARAMS!$C32</f>
        <v>11672.597151309048</v>
      </c>
      <c r="AE108" s="24">
        <f>AE102*PARAMS!$C32</f>
        <v>12177.176278887253</v>
      </c>
      <c r="AF108" s="24">
        <f>AF102*PARAMS!$C32</f>
        <v>12681.755406465454</v>
      </c>
      <c r="AG108" s="24">
        <f>AG102*PARAMS!$C32</f>
        <v>13186.334534043652</v>
      </c>
      <c r="AH108" s="24">
        <f>AH102*PARAMS!$C32</f>
        <v>13690.913661621857</v>
      </c>
    </row>
    <row r="109" spans="2:34" x14ac:dyDescent="0.2">
      <c r="D109" t="str">
        <f>CONCATENATE(D103,": $ Savings")</f>
        <v xml:space="preserve">   PM2.5 emissions reduction: $ Savings</v>
      </c>
      <c r="E109" t="s">
        <v>168</v>
      </c>
      <c r="G109" s="25">
        <f>SUM(I109:AH109)</f>
        <v>2939302.1273809662</v>
      </c>
      <c r="I109" s="24">
        <f>I103*PARAMS!$C33</f>
        <v>16614.440061504778</v>
      </c>
      <c r="J109" s="24">
        <f>J103*PARAMS!$C33</f>
        <v>24402.458840335152</v>
      </c>
      <c r="K109" s="24">
        <f>K103*PARAMS!$C33</f>
        <v>32190.477619165515</v>
      </c>
      <c r="L109" s="24">
        <f>L103*PARAMS!$C33</f>
        <v>39978.496397995877</v>
      </c>
      <c r="M109" s="24">
        <f>M103*PARAMS!$C33</f>
        <v>47766.515176826251</v>
      </c>
      <c r="N109" s="24">
        <f>N103*PARAMS!$C33</f>
        <v>44443.627164525293</v>
      </c>
      <c r="O109" s="24">
        <f>O103*PARAMS!$C33</f>
        <v>50674.042187589585</v>
      </c>
      <c r="P109" s="24">
        <f>P103*PARAMS!$C33</f>
        <v>71130.571513317351</v>
      </c>
      <c r="Q109" s="24">
        <f>Q103*PARAMS!$C33</f>
        <v>78918.590292147725</v>
      </c>
      <c r="R109" s="24">
        <f>R103*PARAMS!$C33</f>
        <v>86706.609070978113</v>
      </c>
      <c r="S109" s="24">
        <f>S103*PARAMS!$C33</f>
        <v>94494.627849808472</v>
      </c>
      <c r="T109" s="24">
        <f>T103*PARAMS!$C33</f>
        <v>102282.64662863886</v>
      </c>
      <c r="U109" s="24">
        <f>U103*PARAMS!$C33</f>
        <v>110070.66540746922</v>
      </c>
      <c r="V109" s="24">
        <f>V103*PARAMS!$C33</f>
        <v>117858.68418629959</v>
      </c>
      <c r="W109" s="24">
        <f>W103*PARAMS!$C33</f>
        <v>125646.70296512995</v>
      </c>
      <c r="X109" s="24">
        <f>X103*PARAMS!$C33</f>
        <v>133434.72174396034</v>
      </c>
      <c r="Y109" s="24">
        <f>Y103*PARAMS!$C33</f>
        <v>141222.74052279073</v>
      </c>
      <c r="Z109" s="24">
        <f>Z103*PARAMS!$C33</f>
        <v>149010.75930162106</v>
      </c>
      <c r="AA109" s="24">
        <f>AA103*PARAMS!$C33</f>
        <v>156798.77808045145</v>
      </c>
      <c r="AB109" s="24">
        <f>AB103*PARAMS!$C33</f>
        <v>164586.79685928184</v>
      </c>
      <c r="AC109" s="24">
        <f>AC103*PARAMS!$C33</f>
        <v>172374.81563811222</v>
      </c>
      <c r="AD109" s="24">
        <f>AD103*PARAMS!$C33</f>
        <v>180162.83441694255</v>
      </c>
      <c r="AE109" s="24">
        <f>AE103*PARAMS!$C33</f>
        <v>187950.85319577297</v>
      </c>
      <c r="AF109" s="24">
        <f>AF103*PARAMS!$C33</f>
        <v>195738.87197460339</v>
      </c>
      <c r="AG109" s="24">
        <f>AG103*PARAMS!$C33</f>
        <v>203526.89075343372</v>
      </c>
      <c r="AH109" s="24">
        <f>AH103*PARAMS!$C33</f>
        <v>211314.90953226411</v>
      </c>
    </row>
    <row r="110" spans="2:34" x14ac:dyDescent="0.2">
      <c r="D110" t="str">
        <f>CONCATENATE(D104,": $ Savings")</f>
        <v xml:space="preserve">   SO2 emissions reduction: $ Savings</v>
      </c>
      <c r="E110" t="s">
        <v>168</v>
      </c>
      <c r="G110" s="25">
        <f>SUM(I110:AH110)</f>
        <v>171257.42476566078</v>
      </c>
      <c r="I110" s="24">
        <f>I104*PARAMS!$C34</f>
        <v>968.0346203103835</v>
      </c>
      <c r="J110" s="24">
        <f>J104*PARAMS!$C34</f>
        <v>1421.8008485808757</v>
      </c>
      <c r="K110" s="24">
        <f>K104*PARAMS!$C34</f>
        <v>1875.5670768513676</v>
      </c>
      <c r="L110" s="24">
        <f>L104*PARAMS!$C34</f>
        <v>2329.3333051218601</v>
      </c>
      <c r="M110" s="24">
        <f>M104*PARAMS!$C34</f>
        <v>2783.0995333923524</v>
      </c>
      <c r="N110" s="24">
        <f>N104*PARAMS!$C34</f>
        <v>2589.4926093302761</v>
      </c>
      <c r="O110" s="24">
        <f>O104*PARAMS!$C34</f>
        <v>2952.5055919466695</v>
      </c>
      <c r="P110" s="24">
        <f>P104*PARAMS!$C34</f>
        <v>4144.3982182038289</v>
      </c>
      <c r="Q110" s="24">
        <f>Q104*PARAMS!$C34</f>
        <v>4598.1644464743222</v>
      </c>
      <c r="R110" s="24">
        <f>R104*PARAMS!$C34</f>
        <v>5051.9306747448145</v>
      </c>
      <c r="S110" s="24">
        <f>S104*PARAMS!$C34</f>
        <v>5505.6969030153068</v>
      </c>
      <c r="T110" s="24">
        <f>T104*PARAMS!$C34</f>
        <v>5959.4631312858</v>
      </c>
      <c r="U110" s="24">
        <f>U104*PARAMS!$C34</f>
        <v>6413.2293595562924</v>
      </c>
      <c r="V110" s="24">
        <f>V104*PARAMS!$C34</f>
        <v>6866.9955878267856</v>
      </c>
      <c r="W110" s="24">
        <f>W104*PARAMS!$C34</f>
        <v>7320.7618160972788</v>
      </c>
      <c r="X110" s="24">
        <f>X104*PARAMS!$C34</f>
        <v>7774.5280443677702</v>
      </c>
      <c r="Y110" s="24">
        <f>Y104*PARAMS!$C34</f>
        <v>8228.2942726382626</v>
      </c>
      <c r="Z110" s="24">
        <f>Z104*PARAMS!$C34</f>
        <v>8682.060500908754</v>
      </c>
      <c r="AA110" s="24">
        <f>AA104*PARAMS!$C34</f>
        <v>9135.8267291792472</v>
      </c>
      <c r="AB110" s="24">
        <f>AB104*PARAMS!$C34</f>
        <v>9589.5929574497404</v>
      </c>
      <c r="AC110" s="24">
        <f>AC104*PARAMS!$C34</f>
        <v>10043.359185720234</v>
      </c>
      <c r="AD110" s="24">
        <f>AD104*PARAMS!$C34</f>
        <v>10497.125413990725</v>
      </c>
      <c r="AE110" s="24">
        <f>AE104*PARAMS!$C34</f>
        <v>10950.89164226122</v>
      </c>
      <c r="AF110" s="24">
        <f>AF104*PARAMS!$C34</f>
        <v>11404.657870531713</v>
      </c>
      <c r="AG110" s="24">
        <f>AG104*PARAMS!$C34</f>
        <v>11858.424098802205</v>
      </c>
      <c r="AH110" s="24">
        <f>AH104*PARAMS!$C34</f>
        <v>12312.190327072698</v>
      </c>
    </row>
    <row r="111" spans="2:34" x14ac:dyDescent="0.2">
      <c r="D111" t="s">
        <v>272</v>
      </c>
      <c r="E111" t="s">
        <v>273</v>
      </c>
      <c r="I111" s="24">
        <v>1</v>
      </c>
      <c r="J111" s="24">
        <v>1</v>
      </c>
      <c r="K111" s="24">
        <v>1</v>
      </c>
      <c r="L111" s="24">
        <v>1</v>
      </c>
      <c r="M111" s="24">
        <v>1</v>
      </c>
      <c r="N111" s="24">
        <v>1</v>
      </c>
      <c r="O111" s="24">
        <v>1</v>
      </c>
      <c r="P111" s="24">
        <v>1</v>
      </c>
      <c r="Q111" s="24">
        <v>1</v>
      </c>
      <c r="R111" s="24">
        <v>1</v>
      </c>
      <c r="S111" s="24">
        <v>1</v>
      </c>
      <c r="T111" s="24">
        <v>1</v>
      </c>
      <c r="U111" s="24">
        <v>1</v>
      </c>
      <c r="V111" s="24">
        <v>1</v>
      </c>
      <c r="W111" s="24">
        <v>1</v>
      </c>
      <c r="X111" s="24">
        <v>2</v>
      </c>
      <c r="Y111" s="24">
        <v>2</v>
      </c>
      <c r="Z111" s="24">
        <v>2</v>
      </c>
      <c r="AA111" s="24">
        <v>2</v>
      </c>
      <c r="AB111" s="24">
        <v>2</v>
      </c>
      <c r="AC111" s="24">
        <v>2</v>
      </c>
      <c r="AD111" s="24">
        <v>2</v>
      </c>
      <c r="AE111" s="24">
        <v>2</v>
      </c>
      <c r="AF111" s="24">
        <v>2</v>
      </c>
      <c r="AG111" s="24">
        <v>2</v>
      </c>
      <c r="AH111" s="24">
        <v>2</v>
      </c>
    </row>
    <row r="112" spans="2:34" x14ac:dyDescent="0.2">
      <c r="D112" t="str">
        <f>CONCATENATE(D105,": $ Savings")</f>
        <v xml:space="preserve">   CO2 emissions reduction: $ Savings</v>
      </c>
      <c r="E112" t="s">
        <v>168</v>
      </c>
      <c r="G112" s="25">
        <f>SUM(I112:AH112)</f>
        <v>665896.27401527448</v>
      </c>
      <c r="I112" s="24">
        <f>I$111*I105</f>
        <v>2288.0085006752533</v>
      </c>
      <c r="J112" s="24">
        <f t="shared" ref="J112:AG112" si="53">J111*J105</f>
        <v>3360.5124853667794</v>
      </c>
      <c r="K112" s="24">
        <f t="shared" si="53"/>
        <v>4433.0164700583045</v>
      </c>
      <c r="L112" s="24">
        <f t="shared" si="53"/>
        <v>5505.5204547498288</v>
      </c>
      <c r="M112" s="24">
        <f t="shared" si="53"/>
        <v>6578.0244394413558</v>
      </c>
      <c r="N112" s="24">
        <f t="shared" si="53"/>
        <v>6120.4227393063056</v>
      </c>
      <c r="O112" s="24">
        <f t="shared" si="53"/>
        <v>6978.4259270595239</v>
      </c>
      <c r="P112" s="24">
        <f t="shared" si="53"/>
        <v>9795.5363935159312</v>
      </c>
      <c r="Q112" s="24">
        <f t="shared" si="53"/>
        <v>10868.040378207459</v>
      </c>
      <c r="R112" s="24">
        <f t="shared" si="53"/>
        <v>11940.544362898985</v>
      </c>
      <c r="S112" s="24">
        <f t="shared" si="53"/>
        <v>13013.048347590509</v>
      </c>
      <c r="T112" s="24">
        <f t="shared" si="53"/>
        <v>14085.552332282037</v>
      </c>
      <c r="U112" s="24">
        <f t="shared" si="53"/>
        <v>15158.056316973561</v>
      </c>
      <c r="V112" s="24">
        <f t="shared" si="53"/>
        <v>16230.560301665089</v>
      </c>
      <c r="W112" s="24">
        <f t="shared" si="53"/>
        <v>17303.064286356617</v>
      </c>
      <c r="X112" s="24">
        <f t="shared" si="53"/>
        <v>36751.136542096283</v>
      </c>
      <c r="Y112" s="24">
        <f t="shared" si="53"/>
        <v>38896.144511479339</v>
      </c>
      <c r="Z112" s="24">
        <f t="shared" si="53"/>
        <v>41041.15248086238</v>
      </c>
      <c r="AA112" s="24">
        <f t="shared" si="53"/>
        <v>43186.160450245443</v>
      </c>
      <c r="AB112" s="24">
        <f t="shared" si="53"/>
        <v>45331.168419628491</v>
      </c>
      <c r="AC112" s="24">
        <f t="shared" si="53"/>
        <v>47476.176389011547</v>
      </c>
      <c r="AD112" s="24">
        <f t="shared" si="53"/>
        <v>49621.184358394596</v>
      </c>
      <c r="AE112" s="24">
        <f t="shared" si="53"/>
        <v>51766.192327777651</v>
      </c>
      <c r="AF112" s="24">
        <f t="shared" si="53"/>
        <v>53911.200297160714</v>
      </c>
      <c r="AG112" s="24">
        <f t="shared" si="53"/>
        <v>56056.208266543756</v>
      </c>
      <c r="AH112" s="24">
        <f t="shared" ref="AH112" si="54">AH111*AH105</f>
        <v>58201.216235926811</v>
      </c>
    </row>
    <row r="113" spans="3:34" x14ac:dyDescent="0.2">
      <c r="D113" t="s">
        <v>274</v>
      </c>
      <c r="E113" t="s">
        <v>168</v>
      </c>
      <c r="G113" s="25">
        <f>SUM(G107:G112)</f>
        <v>12905665.197671384</v>
      </c>
      <c r="I113" s="24">
        <f t="shared" ref="I113:AG113" si="55">SUM(I107:I112)</f>
        <v>71474.447198653637</v>
      </c>
      <c r="J113" s="24">
        <f t="shared" si="55"/>
        <v>104977.62557302254</v>
      </c>
      <c r="K113" s="24">
        <f t="shared" si="55"/>
        <v>138480.80394739143</v>
      </c>
      <c r="L113" s="24">
        <f t="shared" si="55"/>
        <v>171983.98232176033</v>
      </c>
      <c r="M113" s="24">
        <f t="shared" si="55"/>
        <v>205487.1606961292</v>
      </c>
      <c r="N113" s="24">
        <f t="shared" si="55"/>
        <v>191192.47125639851</v>
      </c>
      <c r="O113" s="24">
        <f t="shared" si="55"/>
        <v>217995.01395589358</v>
      </c>
      <c r="P113" s="24">
        <f t="shared" si="55"/>
        <v>305996.69581923593</v>
      </c>
      <c r="Q113" s="24">
        <f t="shared" si="55"/>
        <v>339499.87419360486</v>
      </c>
      <c r="R113" s="24">
        <f t="shared" si="55"/>
        <v>373003.05256797379</v>
      </c>
      <c r="S113" s="24">
        <f t="shared" si="55"/>
        <v>406506.23094234266</v>
      </c>
      <c r="T113" s="24">
        <f t="shared" si="55"/>
        <v>440009.40931671159</v>
      </c>
      <c r="U113" s="24">
        <f t="shared" si="55"/>
        <v>473512.58769108052</v>
      </c>
      <c r="V113" s="24">
        <f t="shared" si="55"/>
        <v>507015.7660654494</v>
      </c>
      <c r="W113" s="24">
        <f t="shared" si="55"/>
        <v>540518.94443981838</v>
      </c>
      <c r="X113" s="24">
        <f t="shared" si="55"/>
        <v>592398.69108523556</v>
      </c>
      <c r="Y113" s="24">
        <f t="shared" si="55"/>
        <v>626974.37344429595</v>
      </c>
      <c r="Z113" s="24">
        <f t="shared" si="55"/>
        <v>661550.05580335611</v>
      </c>
      <c r="AA113" s="24">
        <f t="shared" si="55"/>
        <v>696125.73816241673</v>
      </c>
      <c r="AB113" s="24">
        <f t="shared" si="55"/>
        <v>730701.42052147724</v>
      </c>
      <c r="AC113" s="24">
        <f t="shared" si="55"/>
        <v>765277.10288053774</v>
      </c>
      <c r="AD113" s="24">
        <f t="shared" si="55"/>
        <v>799852.78523959802</v>
      </c>
      <c r="AE113" s="24">
        <f t="shared" si="55"/>
        <v>834428.46759865852</v>
      </c>
      <c r="AF113" s="24">
        <f t="shared" si="55"/>
        <v>869004.14995771926</v>
      </c>
      <c r="AG113" s="24">
        <f t="shared" si="55"/>
        <v>903579.83231677965</v>
      </c>
      <c r="AH113" s="24">
        <f t="shared" ref="AH113" si="56">SUM(AH107:AH112)</f>
        <v>938155.51467584004</v>
      </c>
    </row>
    <row r="114" spans="3:34" s="58" customFormat="1" x14ac:dyDescent="0.2">
      <c r="D114" s="58" t="s">
        <v>240</v>
      </c>
      <c r="E114" s="58" t="s">
        <v>168</v>
      </c>
      <c r="G114" s="59">
        <f>SUM(H114:AH114)</f>
        <v>4664373.3401595866</v>
      </c>
      <c r="H114" s="59"/>
      <c r="I114" s="59">
        <f>I113/'1_MODEL_assumptions'!I$36</f>
        <v>71474.447198653637</v>
      </c>
      <c r="J114" s="59">
        <f>J113/'1_MODEL_assumptions'!J$36</f>
        <v>98109.930442077137</v>
      </c>
      <c r="K114" s="59">
        <f>K113/'1_MODEL_assumptions'!K$36</f>
        <v>120954.49729006151</v>
      </c>
      <c r="L114" s="59">
        <f>L113/'1_MODEL_assumptions'!L$36</f>
        <v>140390.15962848676</v>
      </c>
      <c r="M114" s="59">
        <f>M113/'1_MODEL_assumptions'!M$36</f>
        <v>156765.17103231736</v>
      </c>
      <c r="N114" s="59">
        <f>N113/'1_MODEL_assumptions'!N$36</f>
        <v>136317.58962714064</v>
      </c>
      <c r="O114" s="59">
        <f>O113/'1_MODEL_assumptions'!O$36</f>
        <v>145259.2823802818</v>
      </c>
      <c r="P114" s="59">
        <f>P113/'1_MODEL_assumptions'!P$36</f>
        <v>190559.36333896691</v>
      </c>
      <c r="Q114" s="59">
        <f>Q113/'1_MODEL_assumptions'!Q$36</f>
        <v>197592.01777936317</v>
      </c>
      <c r="R114" s="59">
        <f>R113/'1_MODEL_assumptions'!R$36</f>
        <v>202888.94637860969</v>
      </c>
      <c r="S114" s="59">
        <f>S113/'1_MODEL_assumptions'!S$36</f>
        <v>206647.154747892</v>
      </c>
      <c r="T114" s="59">
        <f>T113/'1_MODEL_assumptions'!T$36</f>
        <v>209045.30070912675</v>
      </c>
      <c r="U114" s="59">
        <f>U113/'1_MODEL_assumptions'!U$36</f>
        <v>210245.25178586715</v>
      </c>
      <c r="V114" s="59">
        <f>V113/'1_MODEL_assumptions'!V$36</f>
        <v>210393.51743613314</v>
      </c>
      <c r="W114" s="59">
        <f>W113/'1_MODEL_assumptions'!W$36</f>
        <v>209622.5657502471</v>
      </c>
      <c r="X114" s="59">
        <f>X113/'1_MODEL_assumptions'!X$36</f>
        <v>214712.54762518744</v>
      </c>
      <c r="Y114" s="59">
        <f>Y113/'1_MODEL_assumptions'!Y$36</f>
        <v>212377.91221742754</v>
      </c>
      <c r="Z114" s="59">
        <f>Z113/'1_MODEL_assumptions'!Z$36</f>
        <v>209429.80567744552</v>
      </c>
      <c r="AA114" s="59">
        <f>AA113/'1_MODEL_assumptions'!AA$36</f>
        <v>205958.48714499609</v>
      </c>
      <c r="AB114" s="59">
        <f>AB113/'1_MODEL_assumptions'!AB$36</f>
        <v>202045.03171704608</v>
      </c>
      <c r="AC114" s="59">
        <f>AC113/'1_MODEL_assumptions'!AC$36</f>
        <v>197762.14580267496</v>
      </c>
      <c r="AD114" s="59">
        <f>AD113/'1_MODEL_assumptions'!AD$36</f>
        <v>193174.91510234802</v>
      </c>
      <c r="AE114" s="59">
        <f>AE113/'1_MODEL_assumptions'!AE$36</f>
        <v>188341.49053747041</v>
      </c>
      <c r="AF114" s="59">
        <f>AF113/'1_MODEL_assumptions'!AF$36</f>
        <v>183313.71704763622</v>
      </c>
      <c r="AG114" s="59">
        <f>AG113/'1_MODEL_assumptions'!AG$36</f>
        <v>178137.70979515329</v>
      </c>
      <c r="AH114" s="59">
        <f>AH113/'1_MODEL_assumptions'!AH$36</f>
        <v>172854.38196697689</v>
      </c>
    </row>
    <row r="115" spans="3:34" x14ac:dyDescent="0.2"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</row>
    <row r="116" spans="3:34" x14ac:dyDescent="0.2">
      <c r="C116" s="1" t="s">
        <v>218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</row>
    <row r="117" spans="3:34" x14ac:dyDescent="0.2">
      <c r="C117" s="1"/>
      <c r="D117" t="str">
        <f>D93</f>
        <v>Total train miles reduction including empty</v>
      </c>
      <c r="E117" t="str">
        <f>E93</f>
        <v>miles</v>
      </c>
      <c r="I117" s="11">
        <f t="shared" ref="I117:AG117" si="57">I93</f>
        <v>704543.47606399993</v>
      </c>
      <c r="J117" s="11">
        <f t="shared" si="57"/>
        <v>1034798.2304689998</v>
      </c>
      <c r="K117" s="11">
        <f t="shared" si="57"/>
        <v>1365052.9848739998</v>
      </c>
      <c r="L117" s="11">
        <f t="shared" si="57"/>
        <v>1695307.7392789999</v>
      </c>
      <c r="M117" s="11">
        <f t="shared" si="57"/>
        <v>2025562.4936840001</v>
      </c>
      <c r="N117" s="11">
        <f t="shared" si="57"/>
        <v>1884653.7984712</v>
      </c>
      <c r="O117" s="11">
        <f t="shared" si="57"/>
        <v>2148857.6019951999</v>
      </c>
      <c r="P117" s="11">
        <f t="shared" si="57"/>
        <v>3016326.7568990006</v>
      </c>
      <c r="Q117" s="11">
        <f t="shared" si="57"/>
        <v>3346581.5113040004</v>
      </c>
      <c r="R117" s="11">
        <f t="shared" si="57"/>
        <v>3676836.2657090006</v>
      </c>
      <c r="S117" s="11">
        <f t="shared" si="57"/>
        <v>4007091.0201140004</v>
      </c>
      <c r="T117" s="11">
        <f t="shared" si="57"/>
        <v>4337345.7745190011</v>
      </c>
      <c r="U117" s="11">
        <f t="shared" si="57"/>
        <v>4667600.5289240023</v>
      </c>
      <c r="V117" s="11">
        <f t="shared" si="57"/>
        <v>4997855.2833290026</v>
      </c>
      <c r="W117" s="11">
        <f t="shared" si="57"/>
        <v>5328110.0377340019</v>
      </c>
      <c r="X117" s="11">
        <f t="shared" si="57"/>
        <v>5658364.7921390031</v>
      </c>
      <c r="Y117" s="11">
        <f t="shared" si="57"/>
        <v>5988619.5465440024</v>
      </c>
      <c r="Z117" s="11">
        <f t="shared" si="57"/>
        <v>6318874.3009490035</v>
      </c>
      <c r="AA117" s="11">
        <f t="shared" si="57"/>
        <v>6649129.0553540029</v>
      </c>
      <c r="AB117" s="11">
        <f t="shared" si="57"/>
        <v>6979383.809759004</v>
      </c>
      <c r="AC117" s="11">
        <f t="shared" si="57"/>
        <v>7309638.5641640043</v>
      </c>
      <c r="AD117" s="11">
        <f t="shared" si="57"/>
        <v>7639893.3185690045</v>
      </c>
      <c r="AE117" s="11">
        <f t="shared" si="57"/>
        <v>7970148.0729740048</v>
      </c>
      <c r="AF117" s="11">
        <f t="shared" si="57"/>
        <v>8300402.827379005</v>
      </c>
      <c r="AG117" s="11">
        <f t="shared" si="57"/>
        <v>8630657.5817840043</v>
      </c>
      <c r="AH117" s="11">
        <f t="shared" ref="AH117" si="58">AH93</f>
        <v>8960912.3361890074</v>
      </c>
    </row>
    <row r="118" spans="3:34" x14ac:dyDescent="0.2">
      <c r="C118" s="1"/>
      <c r="D118" t="s">
        <v>313</v>
      </c>
      <c r="E118" t="s">
        <v>279</v>
      </c>
      <c r="I118" s="11">
        <f>I117*PARAMS!$C$35</f>
        <v>12681782.569151999</v>
      </c>
      <c r="J118" s="11">
        <f>J117*PARAMS!$C$35</f>
        <v>18626368.148441996</v>
      </c>
      <c r="K118" s="11">
        <f>K117*PARAMS!$C$35</f>
        <v>24570953.727731995</v>
      </c>
      <c r="L118" s="11">
        <f>L117*PARAMS!$C$35</f>
        <v>30515539.307021998</v>
      </c>
      <c r="M118" s="11">
        <f>M117*PARAMS!$C$35</f>
        <v>36460124.886312</v>
      </c>
      <c r="N118" s="11">
        <f>N117*PARAMS!$C$35</f>
        <v>33923768.372481599</v>
      </c>
      <c r="O118" s="11">
        <f>O117*PARAMS!$C$35</f>
        <v>38679436.835913599</v>
      </c>
      <c r="P118" s="11">
        <f>P117*PARAMS!$C$35</f>
        <v>54293881.624182008</v>
      </c>
      <c r="Q118" s="11">
        <f>Q117*PARAMS!$C$35</f>
        <v>60238467.203472003</v>
      </c>
      <c r="R118" s="11">
        <f>R117*PARAMS!$C$35</f>
        <v>66183052.782762013</v>
      </c>
      <c r="S118" s="11">
        <f>S117*PARAMS!$C$35</f>
        <v>72127638.362052009</v>
      </c>
      <c r="T118" s="11">
        <f>T117*PARAMS!$C$35</f>
        <v>78072223.941342026</v>
      </c>
      <c r="U118" s="11">
        <f>U117*PARAMS!$C$35</f>
        <v>84016809.520632043</v>
      </c>
      <c r="V118" s="11">
        <f>V117*PARAMS!$C$35</f>
        <v>89961395.099922046</v>
      </c>
      <c r="W118" s="11">
        <f>W117*PARAMS!$C$35</f>
        <v>95905980.679212034</v>
      </c>
      <c r="X118" s="11">
        <f>X117*PARAMS!$C$35</f>
        <v>101850566.25850205</v>
      </c>
      <c r="Y118" s="11">
        <f>Y117*PARAMS!$C$35</f>
        <v>107795151.83779204</v>
      </c>
      <c r="Z118" s="11">
        <f>Z117*PARAMS!$C$35</f>
        <v>113739737.41708207</v>
      </c>
      <c r="AA118" s="11">
        <f>AA117*PARAMS!$C$35</f>
        <v>119684322.99637204</v>
      </c>
      <c r="AB118" s="11">
        <f>AB117*PARAMS!$C$35</f>
        <v>125628908.57566208</v>
      </c>
      <c r="AC118" s="11">
        <f>AC117*PARAMS!$C$35</f>
        <v>131573494.15495208</v>
      </c>
      <c r="AD118" s="11">
        <f>AD117*PARAMS!$C$35</f>
        <v>137518079.73424208</v>
      </c>
      <c r="AE118" s="11">
        <f>AE117*PARAMS!$C$35</f>
        <v>143462665.31353208</v>
      </c>
      <c r="AF118" s="11">
        <f>AF117*PARAMS!$C$35</f>
        <v>149407250.89282209</v>
      </c>
      <c r="AG118" s="11">
        <f>AG117*PARAMS!$C$35</f>
        <v>155351836.47211209</v>
      </c>
      <c r="AH118" s="11">
        <f>AH117*PARAMS!$C$35</f>
        <v>161296422.05140212</v>
      </c>
    </row>
    <row r="119" spans="3:34" x14ac:dyDescent="0.2">
      <c r="C119" s="1"/>
      <c r="D119" t="str">
        <f t="shared" ref="D119:E123" si="59">D101</f>
        <v xml:space="preserve">   NOx emissions reduction</v>
      </c>
      <c r="E119" t="str">
        <f t="shared" si="59"/>
        <v>short tons</v>
      </c>
      <c r="G119" s="31">
        <f>SUM(H119:AH119)</f>
        <v>167.18205443489592</v>
      </c>
      <c r="I119" s="11">
        <f>I$118*PARAMS!$C53</f>
        <v>0.94499854128394467</v>
      </c>
      <c r="J119" s="52">
        <f>J$118*PARAMS!$C53</f>
        <v>1.3879666075107935</v>
      </c>
      <c r="K119" s="52">
        <f>K$118*PARAMS!$C53</f>
        <v>1.8309346737376424</v>
      </c>
      <c r="L119" s="52">
        <f>L$118*PARAMS!$C53</f>
        <v>2.2739027399644915</v>
      </c>
      <c r="M119" s="52">
        <f>M$118*PARAMS!$C53</f>
        <v>2.7168708061913409</v>
      </c>
      <c r="N119" s="52">
        <f>N$118*PARAMS!$C53</f>
        <v>2.5278710979345522</v>
      </c>
      <c r="O119" s="52">
        <f>O$118*PARAMS!$C53</f>
        <v>2.8822455509160312</v>
      </c>
      <c r="P119" s="52">
        <f>P$118*PARAMS!$C53</f>
        <v>4.0457750048718886</v>
      </c>
      <c r="Q119" s="52">
        <f>Q$118*PARAMS!$C53</f>
        <v>4.4887430710987379</v>
      </c>
      <c r="R119" s="52">
        <f>R$118*PARAMS!$C53</f>
        <v>4.9317111373255873</v>
      </c>
      <c r="S119" s="52">
        <f>S$118*PARAMS!$C53</f>
        <v>5.3746792035524358</v>
      </c>
      <c r="T119" s="52">
        <f>T$118*PARAMS!$C53</f>
        <v>5.817647269779286</v>
      </c>
      <c r="U119" s="52">
        <f>U$118*PARAMS!$C53</f>
        <v>6.2606153360061372</v>
      </c>
      <c r="V119" s="52">
        <f>V$118*PARAMS!$C53</f>
        <v>6.7035834022329857</v>
      </c>
      <c r="W119" s="52">
        <f>W$118*PARAMS!$C53</f>
        <v>7.1465514684598341</v>
      </c>
      <c r="X119" s="52">
        <f>X$118*PARAMS!$C53</f>
        <v>7.5895195346866844</v>
      </c>
      <c r="Y119" s="52">
        <f>Y$118*PARAMS!$C53</f>
        <v>8.032487600913532</v>
      </c>
      <c r="Z119" s="52">
        <f>Z$118*PARAMS!$C53</f>
        <v>8.475455667140384</v>
      </c>
      <c r="AA119" s="52">
        <f>AA$118*PARAMS!$C53</f>
        <v>8.9184237333672307</v>
      </c>
      <c r="AB119" s="52">
        <f>AB$118*PARAMS!$C53</f>
        <v>9.3613917995940827</v>
      </c>
      <c r="AC119" s="52">
        <f>AC$118*PARAMS!$C53</f>
        <v>9.8043598658209312</v>
      </c>
      <c r="AD119" s="52">
        <f>AD$118*PARAMS!$C53</f>
        <v>10.247327932047781</v>
      </c>
      <c r="AE119" s="52">
        <f>AE$118*PARAMS!$C53</f>
        <v>10.69029599827463</v>
      </c>
      <c r="AF119" s="52">
        <f>AF$118*PARAMS!$C53</f>
        <v>11.13326406450148</v>
      </c>
      <c r="AG119" s="52">
        <f>AG$118*PARAMS!$C53</f>
        <v>11.576232130728329</v>
      </c>
      <c r="AH119" s="52">
        <f>AH$118*PARAMS!$C53</f>
        <v>12.019200196955181</v>
      </c>
    </row>
    <row r="120" spans="3:34" x14ac:dyDescent="0.2">
      <c r="C120" s="1"/>
      <c r="D120" t="str">
        <f t="shared" si="59"/>
        <v xml:space="preserve">   VOCs emissions reduction</v>
      </c>
      <c r="E120" t="str">
        <f t="shared" si="59"/>
        <v>short tons</v>
      </c>
      <c r="G120" s="31">
        <f>SUM(H120:AH120)</f>
        <v>18.004221246834948</v>
      </c>
      <c r="I120" s="11">
        <f>I$118*PARAMS!$C54</f>
        <v>0.10176907367673249</v>
      </c>
      <c r="J120" s="52">
        <f>J$118*PARAMS!$C54</f>
        <v>0.14947332696270083</v>
      </c>
      <c r="K120" s="52">
        <f>K$118*PARAMS!$C54</f>
        <v>0.19717758024866919</v>
      </c>
      <c r="L120" s="52">
        <f>L$118*PARAMS!$C54</f>
        <v>0.24488183353463758</v>
      </c>
      <c r="M120" s="52">
        <f>M$118*PARAMS!$C54</f>
        <v>0.29258608682060594</v>
      </c>
      <c r="N120" s="52">
        <f>N$118*PARAMS!$C54</f>
        <v>0.27223227208525946</v>
      </c>
      <c r="O120" s="52">
        <f>O$118*PARAMS!$C54</f>
        <v>0.31039567471403412</v>
      </c>
      <c r="P120" s="52">
        <f>P$118*PARAMS!$C54</f>
        <v>0.43569884667851111</v>
      </c>
      <c r="Q120" s="52">
        <f>Q$118*PARAMS!$C54</f>
        <v>0.48340309996447939</v>
      </c>
      <c r="R120" s="52">
        <f>R$118*PARAMS!$C54</f>
        <v>0.53110735325044789</v>
      </c>
      <c r="S120" s="52">
        <f>S$118*PARAMS!$C54</f>
        <v>0.57881160653641617</v>
      </c>
      <c r="T120" s="52">
        <f>T$118*PARAMS!$C54</f>
        <v>0.62651585982238467</v>
      </c>
      <c r="U120" s="52">
        <f>U$118*PARAMS!$C54</f>
        <v>0.67422011310835317</v>
      </c>
      <c r="V120" s="52">
        <f>V$118*PARAMS!$C54</f>
        <v>0.72192436639432156</v>
      </c>
      <c r="W120" s="52">
        <f>W$118*PARAMS!$C54</f>
        <v>0.76962861968028984</v>
      </c>
      <c r="X120" s="52">
        <f>X$118*PARAMS!$C54</f>
        <v>0.81733287296625834</v>
      </c>
      <c r="Y120" s="52">
        <f>Y$118*PARAMS!$C54</f>
        <v>0.86503712625222662</v>
      </c>
      <c r="Z120" s="52">
        <f>Z$118*PARAMS!$C54</f>
        <v>0.91274137953819523</v>
      </c>
      <c r="AA120" s="52">
        <f>AA$118*PARAMS!$C54</f>
        <v>0.96044563282416329</v>
      </c>
      <c r="AB120" s="52">
        <f>AB$118*PARAMS!$C54</f>
        <v>1.0081498861101319</v>
      </c>
      <c r="AC120" s="52">
        <f>AC$118*PARAMS!$C54</f>
        <v>1.0558541393961003</v>
      </c>
      <c r="AD120" s="52">
        <f>AD$118*PARAMS!$C54</f>
        <v>1.1035583926820687</v>
      </c>
      <c r="AE120" s="52">
        <f>AE$118*PARAMS!$C54</f>
        <v>1.1512626459680371</v>
      </c>
      <c r="AF120" s="52">
        <f>AF$118*PARAMS!$C54</f>
        <v>1.1989668992540055</v>
      </c>
      <c r="AG120" s="52">
        <f>AG$118*PARAMS!$C54</f>
        <v>1.2466711525399738</v>
      </c>
      <c r="AH120" s="52">
        <f>AH$118*PARAMS!$C54</f>
        <v>1.2943754058259425</v>
      </c>
    </row>
    <row r="121" spans="3:34" x14ac:dyDescent="0.2">
      <c r="C121" s="1"/>
      <c r="D121" t="str">
        <f t="shared" si="59"/>
        <v xml:space="preserve">   PM2.5 emissions reduction</v>
      </c>
      <c r="E121" t="str">
        <f t="shared" si="59"/>
        <v>short tons</v>
      </c>
      <c r="G121" s="31">
        <f>SUM(H121:AH121)</f>
        <v>0.77160948200721191</v>
      </c>
      <c r="I121" s="11">
        <f>I$118*PARAMS!$C55</f>
        <v>4.3615317290028209E-3</v>
      </c>
      <c r="J121" s="52">
        <f>J$118*PARAMS!$C55</f>
        <v>6.4059997269728924E-3</v>
      </c>
      <c r="K121" s="52">
        <f>K$118*PARAMS!$C55</f>
        <v>8.4504677249429647E-3</v>
      </c>
      <c r="L121" s="52">
        <f>L$118*PARAMS!$C55</f>
        <v>1.0494935722913037E-2</v>
      </c>
      <c r="M121" s="52">
        <f>M$118*PARAMS!$C55</f>
        <v>1.2539403720883111E-2</v>
      </c>
      <c r="N121" s="52">
        <f>N$118*PARAMS!$C55</f>
        <v>1.1667097375082546E-2</v>
      </c>
      <c r="O121" s="52">
        <f>O$118*PARAMS!$C55</f>
        <v>1.3302671773458603E-2</v>
      </c>
      <c r="P121" s="52">
        <f>P$118*PARAMS!$C55</f>
        <v>1.8672807714793332E-2</v>
      </c>
      <c r="Q121" s="52">
        <f>Q$118*PARAMS!$C55</f>
        <v>2.0717275712763401E-2</v>
      </c>
      <c r="R121" s="52">
        <f>R$118*PARAMS!$C55</f>
        <v>2.2761743710733476E-2</v>
      </c>
      <c r="S121" s="52">
        <f>S$118*PARAMS!$C55</f>
        <v>2.4806211708703549E-2</v>
      </c>
      <c r="T121" s="52">
        <f>T$118*PARAMS!$C55</f>
        <v>2.6850679706673625E-2</v>
      </c>
      <c r="U121" s="52">
        <f>U$118*PARAMS!$C55</f>
        <v>2.8895147704643704E-2</v>
      </c>
      <c r="V121" s="52">
        <f>V$118*PARAMS!$C55</f>
        <v>3.0939615702613776E-2</v>
      </c>
      <c r="W121" s="52">
        <f>W$118*PARAMS!$C55</f>
        <v>3.2984083700583845E-2</v>
      </c>
      <c r="X121" s="52">
        <f>X$118*PARAMS!$C55</f>
        <v>3.5028551698553921E-2</v>
      </c>
      <c r="Y121" s="52">
        <f>Y$118*PARAMS!$C55</f>
        <v>3.707301969652399E-2</v>
      </c>
      <c r="Z121" s="52">
        <f>Z$118*PARAMS!$C55</f>
        <v>3.9117487694494073E-2</v>
      </c>
      <c r="AA121" s="52">
        <f>AA$118*PARAMS!$C55</f>
        <v>4.1161955692464142E-2</v>
      </c>
      <c r="AB121" s="52">
        <f>AB$118*PARAMS!$C55</f>
        <v>4.3206423690434224E-2</v>
      </c>
      <c r="AC121" s="52">
        <f>AC$118*PARAMS!$C55</f>
        <v>4.5250891688404293E-2</v>
      </c>
      <c r="AD121" s="52">
        <f>AD$118*PARAMS!$C55</f>
        <v>4.7295359686374369E-2</v>
      </c>
      <c r="AE121" s="52">
        <f>AE$118*PARAMS!$C55</f>
        <v>4.9339827684344438E-2</v>
      </c>
      <c r="AF121" s="52">
        <f>AF$118*PARAMS!$C55</f>
        <v>5.1384295682314514E-2</v>
      </c>
      <c r="AG121" s="52">
        <f>AG$118*PARAMS!$C55</f>
        <v>5.342876368028459E-2</v>
      </c>
      <c r="AH121" s="52">
        <f>AH$118*PARAMS!$C55</f>
        <v>5.5473231678254672E-2</v>
      </c>
    </row>
    <row r="122" spans="3:34" x14ac:dyDescent="0.2">
      <c r="C122" s="1"/>
      <c r="D122" t="str">
        <f t="shared" si="59"/>
        <v xml:space="preserve">   SO2 emissions reduction</v>
      </c>
      <c r="E122" t="str">
        <f t="shared" si="59"/>
        <v>short tons</v>
      </c>
      <c r="G122" s="31">
        <f>SUM(H122:AH122)</f>
        <v>0</v>
      </c>
      <c r="I122" s="11" t="s">
        <v>315</v>
      </c>
      <c r="J122" s="11" t="s">
        <v>315</v>
      </c>
      <c r="K122" s="11" t="s">
        <v>315</v>
      </c>
      <c r="L122" s="11" t="s">
        <v>315</v>
      </c>
      <c r="M122" s="11" t="s">
        <v>315</v>
      </c>
      <c r="N122" s="11" t="s">
        <v>315</v>
      </c>
      <c r="O122" s="11" t="s">
        <v>315</v>
      </c>
      <c r="P122" s="11" t="s">
        <v>315</v>
      </c>
      <c r="Q122" s="11" t="s">
        <v>315</v>
      </c>
      <c r="R122" s="11" t="s">
        <v>315</v>
      </c>
      <c r="S122" s="11" t="s">
        <v>315</v>
      </c>
      <c r="T122" s="11" t="s">
        <v>315</v>
      </c>
      <c r="U122" s="11" t="s">
        <v>315</v>
      </c>
      <c r="V122" s="11" t="s">
        <v>315</v>
      </c>
      <c r="W122" s="11" t="s">
        <v>315</v>
      </c>
      <c r="X122" s="11" t="s">
        <v>315</v>
      </c>
      <c r="Y122" s="11" t="s">
        <v>315</v>
      </c>
      <c r="Z122" s="11" t="s">
        <v>315</v>
      </c>
      <c r="AA122" s="11" t="s">
        <v>315</v>
      </c>
      <c r="AB122" s="11" t="s">
        <v>315</v>
      </c>
      <c r="AC122" s="11" t="s">
        <v>315</v>
      </c>
      <c r="AD122" s="11" t="s">
        <v>315</v>
      </c>
      <c r="AE122" s="11" t="s">
        <v>315</v>
      </c>
      <c r="AF122" s="11" t="s">
        <v>315</v>
      </c>
      <c r="AG122" s="11" t="s">
        <v>315</v>
      </c>
      <c r="AH122" s="11" t="s">
        <v>315</v>
      </c>
    </row>
    <row r="123" spans="3:34" x14ac:dyDescent="0.2">
      <c r="C123" s="1"/>
      <c r="D123" t="str">
        <f t="shared" si="59"/>
        <v xml:space="preserve">   CO2 emissions reduction</v>
      </c>
      <c r="E123" t="str">
        <f t="shared" si="59"/>
        <v>short tons</v>
      </c>
      <c r="G123" s="31">
        <f>SUM(H123:AH123)</f>
        <v>5608914.6469127601</v>
      </c>
      <c r="I123" s="11">
        <f>I$118*PARAMS!$C57</f>
        <v>31704.456422880001</v>
      </c>
      <c r="J123" s="11">
        <f>J$118*PARAMS!$C57</f>
        <v>46565.920371104992</v>
      </c>
      <c r="K123" s="11">
        <f>K$118*PARAMS!$C57</f>
        <v>61427.384319329991</v>
      </c>
      <c r="L123" s="11">
        <f>L$118*PARAMS!$C57</f>
        <v>76288.848267554989</v>
      </c>
      <c r="M123" s="11">
        <f>M$118*PARAMS!$C57</f>
        <v>91150.31221578001</v>
      </c>
      <c r="N123" s="11">
        <f>N$118*PARAMS!$C57</f>
        <v>84809.420931204004</v>
      </c>
      <c r="O123" s="11">
        <f>O$118*PARAMS!$C57</f>
        <v>96698.592089783997</v>
      </c>
      <c r="P123" s="11">
        <f>P$118*PARAMS!$C57</f>
        <v>135734.70406045503</v>
      </c>
      <c r="Q123" s="11">
        <f>Q$118*PARAMS!$C57</f>
        <v>150596.16800868002</v>
      </c>
      <c r="R123" s="11">
        <f>R$118*PARAMS!$C57</f>
        <v>165457.63195690504</v>
      </c>
      <c r="S123" s="11">
        <f>S$118*PARAMS!$C57</f>
        <v>180319.09590513003</v>
      </c>
      <c r="T123" s="11">
        <f>T$118*PARAMS!$C57</f>
        <v>195180.55985335508</v>
      </c>
      <c r="U123" s="11">
        <f>U$118*PARAMS!$C57</f>
        <v>210042.0238015801</v>
      </c>
      <c r="V123" s="11">
        <f>V$118*PARAMS!$C57</f>
        <v>224903.48774980512</v>
      </c>
      <c r="W123" s="11">
        <f>W$118*PARAMS!$C57</f>
        <v>239764.95169803008</v>
      </c>
      <c r="X123" s="11">
        <f>X$118*PARAMS!$C57</f>
        <v>254626.41564625513</v>
      </c>
      <c r="Y123" s="11">
        <f>Y$118*PARAMS!$C57</f>
        <v>269487.87959448009</v>
      </c>
      <c r="Z123" s="11">
        <f>Z$118*PARAMS!$C57</f>
        <v>284349.34354270517</v>
      </c>
      <c r="AA123" s="11">
        <f>AA$118*PARAMS!$C57</f>
        <v>299210.80749093014</v>
      </c>
      <c r="AB123" s="11">
        <f>AB$118*PARAMS!$C57</f>
        <v>314072.27143915521</v>
      </c>
      <c r="AC123" s="11">
        <f>AC$118*PARAMS!$C57</f>
        <v>328933.73538738018</v>
      </c>
      <c r="AD123" s="11">
        <f>AD$118*PARAMS!$C57</f>
        <v>343795.1993356052</v>
      </c>
      <c r="AE123" s="11">
        <f>AE$118*PARAMS!$C57</f>
        <v>358656.66328383022</v>
      </c>
      <c r="AF123" s="11">
        <f>AF$118*PARAMS!$C57</f>
        <v>373518.12723205524</v>
      </c>
      <c r="AG123" s="11">
        <f>AG$118*PARAMS!$C57</f>
        <v>388379.59118028026</v>
      </c>
      <c r="AH123" s="11">
        <f>AH$118*PARAMS!$C57</f>
        <v>403241.05512850534</v>
      </c>
    </row>
    <row r="124" spans="3:34" x14ac:dyDescent="0.2">
      <c r="C124" s="1"/>
      <c r="D124" t="s">
        <v>275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</row>
    <row r="125" spans="3:34" x14ac:dyDescent="0.2">
      <c r="C125" s="1"/>
      <c r="D125" t="str">
        <f>CONCATENATE(D119,": $ Savings")</f>
        <v xml:space="preserve">   NOx emissions reduction: $ Savings</v>
      </c>
      <c r="E125" t="s">
        <v>168</v>
      </c>
      <c r="G125" s="25">
        <f>SUM(I125:AH125)</f>
        <v>1387611.0518096359</v>
      </c>
      <c r="I125" s="24">
        <f>I119*PARAMS!$C31</f>
        <v>7843.4878926567408</v>
      </c>
      <c r="J125" s="24">
        <f>J119*PARAMS!$C31</f>
        <v>11520.122842339586</v>
      </c>
      <c r="K125" s="24">
        <f>K119*PARAMS!$C31</f>
        <v>15196.757792022432</v>
      </c>
      <c r="L125" s="24">
        <f>L119*PARAMS!$C31</f>
        <v>18873.39274170528</v>
      </c>
      <c r="M125" s="24">
        <f>M119*PARAMS!$C31</f>
        <v>22550.027691388128</v>
      </c>
      <c r="N125" s="24">
        <f>N119*PARAMS!$C31</f>
        <v>20981.330112856784</v>
      </c>
      <c r="O125" s="24">
        <f>O119*PARAMS!$C31</f>
        <v>23922.638072603058</v>
      </c>
      <c r="P125" s="24">
        <f>P119*PARAMS!$C31</f>
        <v>33579.932540436675</v>
      </c>
      <c r="Q125" s="24">
        <f>Q119*PARAMS!$C31</f>
        <v>37256.567490119523</v>
      </c>
      <c r="R125" s="24">
        <f>R119*PARAMS!$C31</f>
        <v>40933.202439802371</v>
      </c>
      <c r="S125" s="24">
        <f>S119*PARAMS!$C31</f>
        <v>44609.837389485219</v>
      </c>
      <c r="T125" s="24">
        <f>T119*PARAMS!$C31</f>
        <v>48286.472339168075</v>
      </c>
      <c r="U125" s="24">
        <f>U119*PARAMS!$C31</f>
        <v>51963.107288850937</v>
      </c>
      <c r="V125" s="24">
        <f>V119*PARAMS!$C31</f>
        <v>55639.742238533778</v>
      </c>
      <c r="W125" s="24">
        <f>W119*PARAMS!$C31</f>
        <v>59316.377188216626</v>
      </c>
      <c r="X125" s="24">
        <f>X119*PARAMS!$C31</f>
        <v>62993.012137899481</v>
      </c>
      <c r="Y125" s="24">
        <f>Y119*PARAMS!$C31</f>
        <v>66669.647087582314</v>
      </c>
      <c r="Z125" s="24">
        <f>Z119*PARAMS!$C31</f>
        <v>70346.282037265191</v>
      </c>
      <c r="AA125" s="24">
        <f>AA119*PARAMS!$C31</f>
        <v>74022.91698694801</v>
      </c>
      <c r="AB125" s="24">
        <f>AB119*PARAMS!$C31</f>
        <v>77699.551936630887</v>
      </c>
      <c r="AC125" s="24">
        <f>AC119*PARAMS!$C31</f>
        <v>81376.186886313735</v>
      </c>
      <c r="AD125" s="24">
        <f>AD119*PARAMS!$C31</f>
        <v>85052.821835996583</v>
      </c>
      <c r="AE125" s="24">
        <f>AE119*PARAMS!$C31</f>
        <v>88729.456785679431</v>
      </c>
      <c r="AF125" s="24">
        <f>AF119*PARAMS!$C31</f>
        <v>92406.091735362279</v>
      </c>
      <c r="AG125" s="24">
        <f>AG119*PARAMS!$C31</f>
        <v>96082.726685045127</v>
      </c>
      <c r="AH125" s="24">
        <f>AH119*PARAMS!$C31</f>
        <v>99759.361634728004</v>
      </c>
    </row>
    <row r="126" spans="3:34" x14ac:dyDescent="0.2">
      <c r="C126" s="1"/>
      <c r="D126" t="str">
        <f>CONCATENATE(D120,": $ Savings")</f>
        <v xml:space="preserve">   VOCs emissions reduction: $ Savings</v>
      </c>
      <c r="E126" t="s">
        <v>168</v>
      </c>
      <c r="G126" s="25">
        <f>SUM(I126:AH126)</f>
        <v>36008.442493669892</v>
      </c>
      <c r="I126" s="24">
        <f>I120*PARAMS!$C32</f>
        <v>203.53814735346498</v>
      </c>
      <c r="J126" s="24">
        <f>J120*PARAMS!$C32</f>
        <v>298.94665392540168</v>
      </c>
      <c r="K126" s="24">
        <f>K120*PARAMS!$C32</f>
        <v>394.35516049733837</v>
      </c>
      <c r="L126" s="24">
        <f>L120*PARAMS!$C32</f>
        <v>489.76366706927513</v>
      </c>
      <c r="M126" s="24">
        <f>M120*PARAMS!$C32</f>
        <v>585.17217364121188</v>
      </c>
      <c r="N126" s="24">
        <f>N120*PARAMS!$C32</f>
        <v>544.46454417051893</v>
      </c>
      <c r="O126" s="24">
        <f>O120*PARAMS!$C32</f>
        <v>620.7913494280682</v>
      </c>
      <c r="P126" s="24">
        <f>P120*PARAMS!$C32</f>
        <v>871.39769335702226</v>
      </c>
      <c r="Q126" s="24">
        <f>Q120*PARAMS!$C32</f>
        <v>966.80619992895879</v>
      </c>
      <c r="R126" s="24">
        <f>R120*PARAMS!$C32</f>
        <v>1062.2147065008958</v>
      </c>
      <c r="S126" s="24">
        <f>S120*PARAMS!$C32</f>
        <v>1157.6232130728324</v>
      </c>
      <c r="T126" s="24">
        <f>T120*PARAMS!$C32</f>
        <v>1253.0317196447693</v>
      </c>
      <c r="U126" s="24">
        <f>U120*PARAMS!$C32</f>
        <v>1348.4402262167064</v>
      </c>
      <c r="V126" s="24">
        <f>V120*PARAMS!$C32</f>
        <v>1443.848732788643</v>
      </c>
      <c r="W126" s="24">
        <f>W120*PARAMS!$C32</f>
        <v>1539.2572393605797</v>
      </c>
      <c r="X126" s="24">
        <f>X120*PARAMS!$C32</f>
        <v>1634.6657459325168</v>
      </c>
      <c r="Y126" s="24">
        <f>Y120*PARAMS!$C32</f>
        <v>1730.0742525044532</v>
      </c>
      <c r="Z126" s="24">
        <f>Z120*PARAMS!$C32</f>
        <v>1825.4827590763905</v>
      </c>
      <c r="AA126" s="24">
        <f>AA120*PARAMS!$C32</f>
        <v>1920.8912656483267</v>
      </c>
      <c r="AB126" s="24">
        <f>AB120*PARAMS!$C32</f>
        <v>2016.2997722202638</v>
      </c>
      <c r="AC126" s="24">
        <f>AC120*PARAMS!$C32</f>
        <v>2111.7082787922004</v>
      </c>
      <c r="AD126" s="24">
        <f>AD120*PARAMS!$C32</f>
        <v>2207.1167853641373</v>
      </c>
      <c r="AE126" s="24">
        <f>AE120*PARAMS!$C32</f>
        <v>2302.5252919360742</v>
      </c>
      <c r="AF126" s="24">
        <f>AF120*PARAMS!$C32</f>
        <v>2397.933798508011</v>
      </c>
      <c r="AG126" s="24">
        <f>AG120*PARAMS!$C32</f>
        <v>2493.3423050799479</v>
      </c>
      <c r="AH126" s="24">
        <f>AH120*PARAMS!$C32</f>
        <v>2588.7508116518848</v>
      </c>
    </row>
    <row r="127" spans="3:34" x14ac:dyDescent="0.2">
      <c r="C127" s="1"/>
      <c r="D127" t="str">
        <f>CONCATENATE(D121,": $ Savings")</f>
        <v xml:space="preserve">   PM2.5 emissions reduction: $ Savings</v>
      </c>
      <c r="E127" t="s">
        <v>168</v>
      </c>
      <c r="G127" s="25">
        <f>SUM(I127:AH127)</f>
        <v>291514.06230232469</v>
      </c>
      <c r="I127" s="24">
        <f>I121*PARAMS!$C33</f>
        <v>1647.7866872172658</v>
      </c>
      <c r="J127" s="24">
        <f>J121*PARAMS!$C33</f>
        <v>2420.1866968503587</v>
      </c>
      <c r="K127" s="24">
        <f>K121*PARAMS!$C33</f>
        <v>3192.586706483452</v>
      </c>
      <c r="L127" s="24">
        <f>L121*PARAMS!$C33</f>
        <v>3964.9867161165453</v>
      </c>
      <c r="M127" s="24">
        <f>M121*PARAMS!$C33</f>
        <v>4737.3867257496395</v>
      </c>
      <c r="N127" s="24">
        <f>N121*PARAMS!$C33</f>
        <v>4407.829388306186</v>
      </c>
      <c r="O127" s="24">
        <f>O121*PARAMS!$C33</f>
        <v>5025.7493960126603</v>
      </c>
      <c r="P127" s="24">
        <f>P121*PARAMS!$C33</f>
        <v>7054.5867546489208</v>
      </c>
      <c r="Q127" s="24">
        <f>Q121*PARAMS!$C33</f>
        <v>7826.9867642820127</v>
      </c>
      <c r="R127" s="24">
        <f>R121*PARAMS!$C33</f>
        <v>8599.3867739151083</v>
      </c>
      <c r="S127" s="24">
        <f>S121*PARAMS!$C33</f>
        <v>9371.7867835482011</v>
      </c>
      <c r="T127" s="24">
        <f>T121*PARAMS!$C33</f>
        <v>10144.186793181296</v>
      </c>
      <c r="U127" s="24">
        <f>U121*PARAMS!$C33</f>
        <v>10916.58680281439</v>
      </c>
      <c r="V127" s="24">
        <f>V121*PARAMS!$C33</f>
        <v>11688.986812447485</v>
      </c>
      <c r="W127" s="24">
        <f>W121*PARAMS!$C33</f>
        <v>12461.386822080576</v>
      </c>
      <c r="X127" s="24">
        <f>X121*PARAMS!$C33</f>
        <v>13233.786831713671</v>
      </c>
      <c r="Y127" s="24">
        <f>Y121*PARAMS!$C33</f>
        <v>14006.186841346764</v>
      </c>
      <c r="Z127" s="24">
        <f>Z121*PARAMS!$C33</f>
        <v>14778.58685097986</v>
      </c>
      <c r="AA127" s="24">
        <f>AA121*PARAMS!$C33</f>
        <v>15550.986860612953</v>
      </c>
      <c r="AB127" s="24">
        <f>AB121*PARAMS!$C33</f>
        <v>16323.38687024605</v>
      </c>
      <c r="AC127" s="24">
        <f>AC121*PARAMS!$C33</f>
        <v>17095.786879879142</v>
      </c>
      <c r="AD127" s="24">
        <f>AD121*PARAMS!$C33</f>
        <v>17868.186889512235</v>
      </c>
      <c r="AE127" s="24">
        <f>AE121*PARAMS!$C33</f>
        <v>18640.586899145328</v>
      </c>
      <c r="AF127" s="24">
        <f>AF121*PARAMS!$C33</f>
        <v>19412.986908778425</v>
      </c>
      <c r="AG127" s="24">
        <f>AG121*PARAMS!$C33</f>
        <v>20185.386918411517</v>
      </c>
      <c r="AH127" s="24">
        <f>AH121*PARAMS!$C33</f>
        <v>20957.786928044614</v>
      </c>
    </row>
    <row r="128" spans="3:34" x14ac:dyDescent="0.2">
      <c r="C128" s="1"/>
      <c r="D128" t="str">
        <f>CONCATENATE(D122,": $ Savings")</f>
        <v xml:space="preserve">   SO2 emissions reduction: $ Savings</v>
      </c>
      <c r="E128" t="s">
        <v>168</v>
      </c>
      <c r="G128" s="25">
        <f>SUM(I128:AH128)</f>
        <v>0</v>
      </c>
      <c r="I128" s="24" t="s">
        <v>315</v>
      </c>
      <c r="J128" s="24" t="s">
        <v>315</v>
      </c>
      <c r="K128" s="24" t="s">
        <v>315</v>
      </c>
      <c r="L128" s="24" t="s">
        <v>315</v>
      </c>
      <c r="M128" s="24" t="s">
        <v>315</v>
      </c>
      <c r="N128" s="24" t="s">
        <v>315</v>
      </c>
      <c r="O128" s="24" t="s">
        <v>315</v>
      </c>
      <c r="P128" s="24" t="s">
        <v>315</v>
      </c>
      <c r="Q128" s="24" t="s">
        <v>315</v>
      </c>
      <c r="R128" s="24" t="s">
        <v>315</v>
      </c>
      <c r="S128" s="24" t="s">
        <v>315</v>
      </c>
      <c r="T128" s="24" t="s">
        <v>315</v>
      </c>
      <c r="U128" s="24" t="s">
        <v>315</v>
      </c>
      <c r="V128" s="24" t="s">
        <v>315</v>
      </c>
      <c r="W128" s="24" t="s">
        <v>315</v>
      </c>
      <c r="X128" s="24" t="s">
        <v>315</v>
      </c>
      <c r="Y128" s="24" t="s">
        <v>315</v>
      </c>
      <c r="Z128" s="24" t="s">
        <v>315</v>
      </c>
      <c r="AA128" s="24" t="s">
        <v>315</v>
      </c>
      <c r="AB128" s="24" t="s">
        <v>315</v>
      </c>
      <c r="AC128" s="24" t="s">
        <v>315</v>
      </c>
      <c r="AD128" s="24" t="s">
        <v>315</v>
      </c>
      <c r="AE128" s="24" t="s">
        <v>315</v>
      </c>
      <c r="AF128" s="24" t="s">
        <v>315</v>
      </c>
      <c r="AG128" s="24" t="s">
        <v>315</v>
      </c>
      <c r="AH128" s="24" t="s">
        <v>315</v>
      </c>
    </row>
    <row r="129" spans="3:34" x14ac:dyDescent="0.2">
      <c r="C129" s="1"/>
      <c r="D129" t="str">
        <f>CONCATENATE(D123,": $ Savings")</f>
        <v xml:space="preserve">   CO2 emissions reduction: $ Savings</v>
      </c>
      <c r="E129" t="s">
        <v>168</v>
      </c>
      <c r="G129" s="25">
        <f>SUM(I129:AH129)</f>
        <v>9227185.7361739427</v>
      </c>
      <c r="I129" s="24">
        <f t="shared" ref="I129:AG129" si="60">I$111*I123</f>
        <v>31704.456422880001</v>
      </c>
      <c r="J129" s="24">
        <f t="shared" si="60"/>
        <v>46565.920371104992</v>
      </c>
      <c r="K129" s="24">
        <f t="shared" si="60"/>
        <v>61427.384319329991</v>
      </c>
      <c r="L129" s="24">
        <f t="shared" si="60"/>
        <v>76288.848267554989</v>
      </c>
      <c r="M129" s="24">
        <f t="shared" si="60"/>
        <v>91150.31221578001</v>
      </c>
      <c r="N129" s="24">
        <f t="shared" si="60"/>
        <v>84809.420931204004</v>
      </c>
      <c r="O129" s="24">
        <f t="shared" si="60"/>
        <v>96698.592089783997</v>
      </c>
      <c r="P129" s="24">
        <f t="shared" si="60"/>
        <v>135734.70406045503</v>
      </c>
      <c r="Q129" s="24">
        <f t="shared" si="60"/>
        <v>150596.16800868002</v>
      </c>
      <c r="R129" s="24">
        <f t="shared" si="60"/>
        <v>165457.63195690504</v>
      </c>
      <c r="S129" s="24">
        <f t="shared" si="60"/>
        <v>180319.09590513003</v>
      </c>
      <c r="T129" s="24">
        <f t="shared" si="60"/>
        <v>195180.55985335508</v>
      </c>
      <c r="U129" s="24">
        <f t="shared" si="60"/>
        <v>210042.0238015801</v>
      </c>
      <c r="V129" s="24">
        <f t="shared" si="60"/>
        <v>224903.48774980512</v>
      </c>
      <c r="W129" s="24">
        <f t="shared" si="60"/>
        <v>239764.95169803008</v>
      </c>
      <c r="X129" s="24">
        <f t="shared" si="60"/>
        <v>509252.83129251027</v>
      </c>
      <c r="Y129" s="24">
        <f t="shared" si="60"/>
        <v>538975.75918896019</v>
      </c>
      <c r="Z129" s="24">
        <f t="shared" si="60"/>
        <v>568698.68708541035</v>
      </c>
      <c r="AA129" s="24">
        <f t="shared" si="60"/>
        <v>598421.61498186027</v>
      </c>
      <c r="AB129" s="24">
        <f t="shared" si="60"/>
        <v>628144.54287831043</v>
      </c>
      <c r="AC129" s="24">
        <f t="shared" si="60"/>
        <v>657867.47077476035</v>
      </c>
      <c r="AD129" s="24">
        <f t="shared" si="60"/>
        <v>687590.39867121039</v>
      </c>
      <c r="AE129" s="24">
        <f t="shared" si="60"/>
        <v>717313.32656766044</v>
      </c>
      <c r="AF129" s="24">
        <f t="shared" si="60"/>
        <v>747036.25446411048</v>
      </c>
      <c r="AG129" s="24">
        <f t="shared" si="60"/>
        <v>776759.18236056052</v>
      </c>
      <c r="AH129" s="24">
        <f t="shared" ref="AH129" si="61">AH$111*AH123</f>
        <v>806482.11025701067</v>
      </c>
    </row>
    <row r="130" spans="3:34" x14ac:dyDescent="0.2">
      <c r="C130" s="1"/>
      <c r="D130" t="s">
        <v>274</v>
      </c>
      <c r="E130" t="s">
        <v>168</v>
      </c>
      <c r="G130" s="25">
        <f>SUM(G125:G129)</f>
        <v>10942319.292779572</v>
      </c>
      <c r="I130" s="24">
        <f t="shared" ref="I130:AG130" si="62">SUM(I125:I127,I129)</f>
        <v>41399.269150107473</v>
      </c>
      <c r="J130" s="24">
        <f t="shared" si="62"/>
        <v>60805.176564220339</v>
      </c>
      <c r="K130" s="24">
        <f t="shared" si="62"/>
        <v>80211.083978333219</v>
      </c>
      <c r="L130" s="24">
        <f t="shared" si="62"/>
        <v>99616.991392446085</v>
      </c>
      <c r="M130" s="24">
        <f t="shared" si="62"/>
        <v>119022.89880655898</v>
      </c>
      <c r="N130" s="24">
        <f t="shared" si="62"/>
        <v>110743.04497653749</v>
      </c>
      <c r="O130" s="24">
        <f t="shared" si="62"/>
        <v>126267.77090782778</v>
      </c>
      <c r="P130" s="24">
        <f t="shared" si="62"/>
        <v>177240.62104889765</v>
      </c>
      <c r="Q130" s="24">
        <f t="shared" si="62"/>
        <v>196646.5284630105</v>
      </c>
      <c r="R130" s="24">
        <f t="shared" si="62"/>
        <v>216052.43587712341</v>
      </c>
      <c r="S130" s="24">
        <f t="shared" si="62"/>
        <v>235458.34329123629</v>
      </c>
      <c r="T130" s="24">
        <f t="shared" si="62"/>
        <v>254864.25070534923</v>
      </c>
      <c r="U130" s="24">
        <f t="shared" si="62"/>
        <v>274270.15811946214</v>
      </c>
      <c r="V130" s="24">
        <f t="shared" si="62"/>
        <v>293676.06553357502</v>
      </c>
      <c r="W130" s="24">
        <f t="shared" si="62"/>
        <v>313081.97294768784</v>
      </c>
      <c r="X130" s="24">
        <f t="shared" si="62"/>
        <v>587114.29600805591</v>
      </c>
      <c r="Y130" s="24">
        <f t="shared" si="62"/>
        <v>621381.66737039376</v>
      </c>
      <c r="Z130" s="24">
        <f t="shared" si="62"/>
        <v>655649.03873273183</v>
      </c>
      <c r="AA130" s="24">
        <f t="shared" si="62"/>
        <v>689916.41009506956</v>
      </c>
      <c r="AB130" s="24">
        <f t="shared" si="62"/>
        <v>724183.78145740763</v>
      </c>
      <c r="AC130" s="24">
        <f t="shared" si="62"/>
        <v>758451.15281974548</v>
      </c>
      <c r="AD130" s="24">
        <f t="shared" si="62"/>
        <v>792718.52418208332</v>
      </c>
      <c r="AE130" s="24">
        <f t="shared" si="62"/>
        <v>826985.89554442128</v>
      </c>
      <c r="AF130" s="24">
        <f t="shared" si="62"/>
        <v>861253.26690675924</v>
      </c>
      <c r="AG130" s="24">
        <f t="shared" si="62"/>
        <v>895520.63826909708</v>
      </c>
      <c r="AH130" s="24">
        <f t="shared" ref="AH130" si="63">SUM(AH125:AH127,AH129)</f>
        <v>929788.00963143515</v>
      </c>
    </row>
    <row r="131" spans="3:34" s="58" customFormat="1" x14ac:dyDescent="0.2">
      <c r="D131" s="58" t="s">
        <v>240</v>
      </c>
      <c r="E131" s="58" t="s">
        <v>168</v>
      </c>
      <c r="G131" s="59">
        <f>SUM(H131:AH131)</f>
        <v>3590546.5290706879</v>
      </c>
      <c r="H131" s="59"/>
      <c r="I131" s="59">
        <f>I130/'1_MODEL_assumptions'!I$36</f>
        <v>41399.269150107473</v>
      </c>
      <c r="J131" s="59">
        <f>J130/'1_MODEL_assumptions'!J$36</f>
        <v>56827.267817028354</v>
      </c>
      <c r="K131" s="59">
        <f>K130/'1_MODEL_assumptions'!K$36</f>
        <v>70059.467183451139</v>
      </c>
      <c r="L131" s="59">
        <f>L130/'1_MODEL_assumptions'!L$36</f>
        <v>81317.138575908015</v>
      </c>
      <c r="M131" s="59">
        <f>M130/'1_MODEL_assumptions'!M$36</f>
        <v>90801.999623540949</v>
      </c>
      <c r="N131" s="59">
        <f>N130/'1_MODEL_assumptions'!N$36</f>
        <v>78958.260542209522</v>
      </c>
      <c r="O131" s="59">
        <f>O130/'1_MODEL_assumptions'!O$36</f>
        <v>84137.547263075918</v>
      </c>
      <c r="P131" s="59">
        <f>P130/'1_MODEL_assumptions'!P$36</f>
        <v>110376.55100966564</v>
      </c>
      <c r="Q131" s="59">
        <f>Q130/'1_MODEL_assumptions'!Q$36</f>
        <v>114450.06994658009</v>
      </c>
      <c r="R131" s="59">
        <f>R130/'1_MODEL_assumptions'!R$36</f>
        <v>117518.21004106539</v>
      </c>
      <c r="S131" s="59">
        <f>S130/'1_MODEL_assumptions'!S$36</f>
        <v>119695.08213931335</v>
      </c>
      <c r="T131" s="59">
        <f>T130/'1_MODEL_assumptions'!T$36</f>
        <v>121084.16956683132</v>
      </c>
      <c r="U131" s="59">
        <f>U130/'1_MODEL_assumptions'!U$36</f>
        <v>121779.23026788865</v>
      </c>
      <c r="V131" s="59">
        <f>V130/'1_MODEL_assumptions'!V$36</f>
        <v>121865.12639221795</v>
      </c>
      <c r="W131" s="59">
        <f>W130/'1_MODEL_assumptions'!W$36</f>
        <v>121418.58696083305</v>
      </c>
      <c r="X131" s="59">
        <f>X130/'1_MODEL_assumptions'!X$36</f>
        <v>212797.239663246</v>
      </c>
      <c r="Y131" s="59">
        <f>Y130/'1_MODEL_assumptions'!Y$36</f>
        <v>210483.4691748897</v>
      </c>
      <c r="Z131" s="59">
        <f>Z130/'1_MODEL_assumptions'!Z$36</f>
        <v>207561.69479519434</v>
      </c>
      <c r="AA131" s="59">
        <f>AA130/'1_MODEL_assumptions'!AA$36</f>
        <v>204121.37102526514</v>
      </c>
      <c r="AB131" s="59">
        <f>AB130/'1_MODEL_assumptions'!AB$36</f>
        <v>200242.85020427388</v>
      </c>
      <c r="AC131" s="59">
        <f>AC130/'1_MODEL_assumptions'!AC$36</f>
        <v>195998.19059470776</v>
      </c>
      <c r="AD131" s="59">
        <f>AD130/'1_MODEL_assumptions'!AD$36</f>
        <v>191451.89769272489</v>
      </c>
      <c r="AE131" s="59">
        <f>AE130/'1_MODEL_assumptions'!AE$36</f>
        <v>186661.60404203294</v>
      </c>
      <c r="AF131" s="59">
        <f>AF130/'1_MODEL_assumptions'!AF$36</f>
        <v>181678.69242486297</v>
      </c>
      <c r="AG131" s="59">
        <f>AG130/'1_MODEL_assumptions'!AG$36</f>
        <v>176548.86692914122</v>
      </c>
      <c r="AH131" s="59">
        <f>AH130/'1_MODEL_assumptions'!AH$36</f>
        <v>171312.6760446321</v>
      </c>
    </row>
    <row r="132" spans="3:34" x14ac:dyDescent="0.2">
      <c r="C132" s="1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</row>
    <row r="133" spans="3:34" x14ac:dyDescent="0.2">
      <c r="C133" s="1" t="s">
        <v>323</v>
      </c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</row>
    <row r="134" spans="3:34" x14ac:dyDescent="0.2">
      <c r="C134" s="1"/>
      <c r="D134" t="str">
        <f>D119</f>
        <v xml:space="preserve">   NOx emissions reduction</v>
      </c>
      <c r="E134" t="s">
        <v>263</v>
      </c>
      <c r="G134" s="31">
        <f>SUM(H134:AH134)</f>
        <v>0</v>
      </c>
      <c r="I134" s="24"/>
      <c r="J134" s="24"/>
      <c r="K134" s="53">
        <f>UNUSED4_MODELsub_ElecReferRacks!$C$39*'1_MODEL_assumptions'!K11</f>
        <v>0</v>
      </c>
      <c r="L134" s="53">
        <f>UNUSED4_MODELsub_ElecReferRacks!$C$39*'1_MODEL_assumptions'!L11</f>
        <v>0</v>
      </c>
      <c r="M134" s="53">
        <f>UNUSED4_MODELsub_ElecReferRacks!$C$39*'1_MODEL_assumptions'!M11</f>
        <v>0</v>
      </c>
      <c r="N134" s="53">
        <f>UNUSED4_MODELsub_ElecReferRacks!$C$39*'1_MODEL_assumptions'!N11</f>
        <v>0</v>
      </c>
      <c r="O134" s="53">
        <f>UNUSED4_MODELsub_ElecReferRacks!$C$39*'1_MODEL_assumptions'!O11</f>
        <v>0</v>
      </c>
      <c r="P134" s="53">
        <f>UNUSED4_MODELsub_ElecReferRacks!$C$39*'1_MODEL_assumptions'!P11</f>
        <v>0</v>
      </c>
      <c r="Q134" s="53">
        <f>UNUSED4_MODELsub_ElecReferRacks!$C$39*'1_MODEL_assumptions'!Q11</f>
        <v>0</v>
      </c>
      <c r="R134" s="53">
        <f>UNUSED4_MODELsub_ElecReferRacks!$C$39*'1_MODEL_assumptions'!R11</f>
        <v>0</v>
      </c>
      <c r="S134" s="53">
        <f>UNUSED4_MODELsub_ElecReferRacks!$C$39*'1_MODEL_assumptions'!S11</f>
        <v>0</v>
      </c>
      <c r="T134" s="53">
        <f>UNUSED4_MODELsub_ElecReferRacks!$C$39*'1_MODEL_assumptions'!T11</f>
        <v>0</v>
      </c>
      <c r="U134" s="53">
        <f>UNUSED4_MODELsub_ElecReferRacks!$C$39*'1_MODEL_assumptions'!U11</f>
        <v>0</v>
      </c>
      <c r="V134" s="53">
        <f>UNUSED4_MODELsub_ElecReferRacks!$C$39*'1_MODEL_assumptions'!V11</f>
        <v>0</v>
      </c>
      <c r="W134" s="53">
        <f>UNUSED4_MODELsub_ElecReferRacks!$C$39*'1_MODEL_assumptions'!W11</f>
        <v>0</v>
      </c>
      <c r="X134" s="53">
        <f>UNUSED4_MODELsub_ElecReferRacks!$C$39*'1_MODEL_assumptions'!X11</f>
        <v>0</v>
      </c>
      <c r="Y134" s="53">
        <f>UNUSED4_MODELsub_ElecReferRacks!$C$39*'1_MODEL_assumptions'!Y11</f>
        <v>0</v>
      </c>
      <c r="Z134" s="53">
        <f>UNUSED4_MODELsub_ElecReferRacks!$C$39*'1_MODEL_assumptions'!Z11</f>
        <v>0</v>
      </c>
      <c r="AA134" s="53">
        <f>UNUSED4_MODELsub_ElecReferRacks!$C$39*'1_MODEL_assumptions'!AA11</f>
        <v>0</v>
      </c>
      <c r="AB134" s="53">
        <f>UNUSED4_MODELsub_ElecReferRacks!$C$39*'1_MODEL_assumptions'!AB11</f>
        <v>0</v>
      </c>
      <c r="AC134" s="53">
        <f>UNUSED4_MODELsub_ElecReferRacks!$C$39*'1_MODEL_assumptions'!AC11</f>
        <v>0</v>
      </c>
      <c r="AD134" s="53">
        <f>UNUSED4_MODELsub_ElecReferRacks!$C$39*'1_MODEL_assumptions'!AD11</f>
        <v>0</v>
      </c>
      <c r="AE134" s="53">
        <f>UNUSED4_MODELsub_ElecReferRacks!$C$39*'1_MODEL_assumptions'!AE11</f>
        <v>0</v>
      </c>
      <c r="AF134" s="53">
        <f>UNUSED4_MODELsub_ElecReferRacks!$C$39*'1_MODEL_assumptions'!AF11</f>
        <v>0</v>
      </c>
      <c r="AG134" s="53">
        <f>UNUSED4_MODELsub_ElecReferRacks!$C$39*'1_MODEL_assumptions'!AG11</f>
        <v>0</v>
      </c>
      <c r="AH134" s="53">
        <f>UNUSED4_MODELsub_ElecReferRacks!$C$39*'1_MODEL_assumptions'!AH11</f>
        <v>0</v>
      </c>
    </row>
    <row r="135" spans="3:34" x14ac:dyDescent="0.2">
      <c r="C135" s="1"/>
      <c r="D135" s="63" t="str">
        <f>D120</f>
        <v xml:space="preserve">   VOCs emissions reduction</v>
      </c>
      <c r="E135" s="63" t="s">
        <v>263</v>
      </c>
      <c r="G135" s="31">
        <f>SUM(H135:AH135)</f>
        <v>0</v>
      </c>
      <c r="I135" s="24"/>
      <c r="J135" s="24"/>
      <c r="K135" s="53">
        <f>UNUSED4_MODELsub_ElecReferRacks!$C$41*'1_MODEL_assumptions'!K11</f>
        <v>0</v>
      </c>
      <c r="L135" s="53">
        <f>UNUSED4_MODELsub_ElecReferRacks!$C$41*'1_MODEL_assumptions'!L11</f>
        <v>0</v>
      </c>
      <c r="M135" s="53">
        <f>UNUSED4_MODELsub_ElecReferRacks!$C$41*'1_MODEL_assumptions'!M11</f>
        <v>0</v>
      </c>
      <c r="N135" s="53">
        <f>UNUSED4_MODELsub_ElecReferRacks!$C$41*'1_MODEL_assumptions'!N11</f>
        <v>0</v>
      </c>
      <c r="O135" s="53">
        <f>UNUSED4_MODELsub_ElecReferRacks!$C$41*'1_MODEL_assumptions'!O11</f>
        <v>0</v>
      </c>
      <c r="P135" s="53">
        <f>UNUSED4_MODELsub_ElecReferRacks!$C$41*'1_MODEL_assumptions'!P11</f>
        <v>0</v>
      </c>
      <c r="Q135" s="53">
        <f>UNUSED4_MODELsub_ElecReferRacks!$C$41*'1_MODEL_assumptions'!Q11</f>
        <v>0</v>
      </c>
      <c r="R135" s="53">
        <f>UNUSED4_MODELsub_ElecReferRacks!$C$41*'1_MODEL_assumptions'!R11</f>
        <v>0</v>
      </c>
      <c r="S135" s="53">
        <f>UNUSED4_MODELsub_ElecReferRacks!$C$41*'1_MODEL_assumptions'!S11</f>
        <v>0</v>
      </c>
      <c r="T135" s="53">
        <f>UNUSED4_MODELsub_ElecReferRacks!$C$41*'1_MODEL_assumptions'!T11</f>
        <v>0</v>
      </c>
      <c r="U135" s="53">
        <f>UNUSED4_MODELsub_ElecReferRacks!$C$41*'1_MODEL_assumptions'!U11</f>
        <v>0</v>
      </c>
      <c r="V135" s="53">
        <f>UNUSED4_MODELsub_ElecReferRacks!$C$41*'1_MODEL_assumptions'!V11</f>
        <v>0</v>
      </c>
      <c r="W135" s="53">
        <f>UNUSED4_MODELsub_ElecReferRacks!$C$41*'1_MODEL_assumptions'!W11</f>
        <v>0</v>
      </c>
      <c r="X135" s="53">
        <f>UNUSED4_MODELsub_ElecReferRacks!$C$41*'1_MODEL_assumptions'!X11</f>
        <v>0</v>
      </c>
      <c r="Y135" s="53">
        <f>UNUSED4_MODELsub_ElecReferRacks!$C$41*'1_MODEL_assumptions'!Y11</f>
        <v>0</v>
      </c>
      <c r="Z135" s="53">
        <f>UNUSED4_MODELsub_ElecReferRacks!$C$41*'1_MODEL_assumptions'!Z11</f>
        <v>0</v>
      </c>
      <c r="AA135" s="53">
        <f>UNUSED4_MODELsub_ElecReferRacks!$C$41*'1_MODEL_assumptions'!AA11</f>
        <v>0</v>
      </c>
      <c r="AB135" s="53">
        <f>UNUSED4_MODELsub_ElecReferRacks!$C$41*'1_MODEL_assumptions'!AB11</f>
        <v>0</v>
      </c>
      <c r="AC135" s="53">
        <f>UNUSED4_MODELsub_ElecReferRacks!$C$41*'1_MODEL_assumptions'!AC11</f>
        <v>0</v>
      </c>
      <c r="AD135" s="53">
        <f>UNUSED4_MODELsub_ElecReferRacks!$C$41*'1_MODEL_assumptions'!AD11</f>
        <v>0</v>
      </c>
      <c r="AE135" s="53">
        <f>UNUSED4_MODELsub_ElecReferRacks!$C$41*'1_MODEL_assumptions'!AE11</f>
        <v>0</v>
      </c>
      <c r="AF135" s="53">
        <f>UNUSED4_MODELsub_ElecReferRacks!$C$41*'1_MODEL_assumptions'!AF11</f>
        <v>0</v>
      </c>
      <c r="AG135" s="53">
        <f>UNUSED4_MODELsub_ElecReferRacks!$C$41*'1_MODEL_assumptions'!AG11</f>
        <v>0</v>
      </c>
      <c r="AH135" s="53">
        <f>UNUSED4_MODELsub_ElecReferRacks!$C$41*'1_MODEL_assumptions'!AH11</f>
        <v>0</v>
      </c>
    </row>
    <row r="136" spans="3:34" x14ac:dyDescent="0.2">
      <c r="C136" s="1"/>
      <c r="D136" s="63" t="str">
        <f>D121</f>
        <v xml:space="preserve">   PM2.5 emissions reduction</v>
      </c>
      <c r="E136" s="63" t="s">
        <v>263</v>
      </c>
      <c r="G136" s="31">
        <f>SUM(H136:AH136)</f>
        <v>0</v>
      </c>
      <c r="I136" s="24"/>
      <c r="J136" s="24"/>
      <c r="K136" s="53">
        <f>UNUSED4_MODELsub_ElecReferRacks!$C$42*'1_MODEL_assumptions'!K11</f>
        <v>0</v>
      </c>
      <c r="L136" s="53">
        <f>UNUSED4_MODELsub_ElecReferRacks!$C$42*'1_MODEL_assumptions'!L11</f>
        <v>0</v>
      </c>
      <c r="M136" s="53">
        <f>UNUSED4_MODELsub_ElecReferRacks!$C$42*'1_MODEL_assumptions'!M11</f>
        <v>0</v>
      </c>
      <c r="N136" s="53">
        <f>UNUSED4_MODELsub_ElecReferRacks!$C$42*'1_MODEL_assumptions'!N11</f>
        <v>0</v>
      </c>
      <c r="O136" s="53">
        <f>UNUSED4_MODELsub_ElecReferRacks!$C$42*'1_MODEL_assumptions'!O11</f>
        <v>0</v>
      </c>
      <c r="P136" s="53">
        <f>UNUSED4_MODELsub_ElecReferRacks!$C$42*'1_MODEL_assumptions'!P11</f>
        <v>0</v>
      </c>
      <c r="Q136" s="53">
        <f>UNUSED4_MODELsub_ElecReferRacks!$C$42*'1_MODEL_assumptions'!Q11</f>
        <v>0</v>
      </c>
      <c r="R136" s="53">
        <f>UNUSED4_MODELsub_ElecReferRacks!$C$42*'1_MODEL_assumptions'!R11</f>
        <v>0</v>
      </c>
      <c r="S136" s="53">
        <f>UNUSED4_MODELsub_ElecReferRacks!$C$42*'1_MODEL_assumptions'!S11</f>
        <v>0</v>
      </c>
      <c r="T136" s="53">
        <f>UNUSED4_MODELsub_ElecReferRacks!$C$42*'1_MODEL_assumptions'!T11</f>
        <v>0</v>
      </c>
      <c r="U136" s="53">
        <f>UNUSED4_MODELsub_ElecReferRacks!$C$42*'1_MODEL_assumptions'!U11</f>
        <v>0</v>
      </c>
      <c r="V136" s="53">
        <f>UNUSED4_MODELsub_ElecReferRacks!$C$42*'1_MODEL_assumptions'!V11</f>
        <v>0</v>
      </c>
      <c r="W136" s="53">
        <f>UNUSED4_MODELsub_ElecReferRacks!$C$42*'1_MODEL_assumptions'!W11</f>
        <v>0</v>
      </c>
      <c r="X136" s="53">
        <f>UNUSED4_MODELsub_ElecReferRacks!$C$42*'1_MODEL_assumptions'!X11</f>
        <v>0</v>
      </c>
      <c r="Y136" s="53">
        <f>UNUSED4_MODELsub_ElecReferRacks!$C$42*'1_MODEL_assumptions'!Y11</f>
        <v>0</v>
      </c>
      <c r="Z136" s="53">
        <f>UNUSED4_MODELsub_ElecReferRacks!$C$42*'1_MODEL_assumptions'!Z11</f>
        <v>0</v>
      </c>
      <c r="AA136" s="53">
        <f>UNUSED4_MODELsub_ElecReferRacks!$C$42*'1_MODEL_assumptions'!AA11</f>
        <v>0</v>
      </c>
      <c r="AB136" s="53">
        <f>UNUSED4_MODELsub_ElecReferRacks!$C$42*'1_MODEL_assumptions'!AB11</f>
        <v>0</v>
      </c>
      <c r="AC136" s="53">
        <f>UNUSED4_MODELsub_ElecReferRacks!$C$42*'1_MODEL_assumptions'!AC11</f>
        <v>0</v>
      </c>
      <c r="AD136" s="53">
        <f>UNUSED4_MODELsub_ElecReferRacks!$C$42*'1_MODEL_assumptions'!AD11</f>
        <v>0</v>
      </c>
      <c r="AE136" s="53">
        <f>UNUSED4_MODELsub_ElecReferRacks!$C$42*'1_MODEL_assumptions'!AE11</f>
        <v>0</v>
      </c>
      <c r="AF136" s="53">
        <f>UNUSED4_MODELsub_ElecReferRacks!$C$42*'1_MODEL_assumptions'!AF11</f>
        <v>0</v>
      </c>
      <c r="AG136" s="53">
        <f>UNUSED4_MODELsub_ElecReferRacks!$C$42*'1_MODEL_assumptions'!AG11</f>
        <v>0</v>
      </c>
      <c r="AH136" s="53">
        <f>UNUSED4_MODELsub_ElecReferRacks!$C$42*'1_MODEL_assumptions'!AH11</f>
        <v>0</v>
      </c>
    </row>
    <row r="137" spans="3:34" x14ac:dyDescent="0.2">
      <c r="C137" s="1"/>
      <c r="D137" s="63" t="str">
        <f>D122</f>
        <v xml:space="preserve">   SO2 emissions reduction</v>
      </c>
      <c r="E137" s="63" t="s">
        <v>263</v>
      </c>
      <c r="G137" s="31">
        <f>SUM(H137:AH137)</f>
        <v>0</v>
      </c>
      <c r="I137" s="24"/>
      <c r="J137" s="24"/>
      <c r="K137" s="53">
        <f>UNUSED4_MODELsub_ElecReferRacks!$C$40*'1_MODEL_assumptions'!K11</f>
        <v>0</v>
      </c>
      <c r="L137" s="53">
        <f>UNUSED4_MODELsub_ElecReferRacks!$C$40*'1_MODEL_assumptions'!L11</f>
        <v>0</v>
      </c>
      <c r="M137" s="53">
        <f>UNUSED4_MODELsub_ElecReferRacks!$C$40*'1_MODEL_assumptions'!M11</f>
        <v>0</v>
      </c>
      <c r="N137" s="53">
        <f>UNUSED4_MODELsub_ElecReferRacks!$C$40*'1_MODEL_assumptions'!N11</f>
        <v>0</v>
      </c>
      <c r="O137" s="53">
        <f>UNUSED4_MODELsub_ElecReferRacks!$C$40*'1_MODEL_assumptions'!O11</f>
        <v>0</v>
      </c>
      <c r="P137" s="53">
        <f>UNUSED4_MODELsub_ElecReferRacks!$C$40*'1_MODEL_assumptions'!P11</f>
        <v>0</v>
      </c>
      <c r="Q137" s="53">
        <f>UNUSED4_MODELsub_ElecReferRacks!$C$40*'1_MODEL_assumptions'!Q11</f>
        <v>0</v>
      </c>
      <c r="R137" s="53">
        <f>UNUSED4_MODELsub_ElecReferRacks!$C$40*'1_MODEL_assumptions'!R11</f>
        <v>0</v>
      </c>
      <c r="S137" s="53">
        <f>UNUSED4_MODELsub_ElecReferRacks!$C$40*'1_MODEL_assumptions'!S11</f>
        <v>0</v>
      </c>
      <c r="T137" s="53">
        <f>UNUSED4_MODELsub_ElecReferRacks!$C$40*'1_MODEL_assumptions'!T11</f>
        <v>0</v>
      </c>
      <c r="U137" s="53">
        <f>UNUSED4_MODELsub_ElecReferRacks!$C$40*'1_MODEL_assumptions'!U11</f>
        <v>0</v>
      </c>
      <c r="V137" s="53">
        <f>UNUSED4_MODELsub_ElecReferRacks!$C$40*'1_MODEL_assumptions'!V11</f>
        <v>0</v>
      </c>
      <c r="W137" s="53">
        <f>UNUSED4_MODELsub_ElecReferRacks!$C$40*'1_MODEL_assumptions'!W11</f>
        <v>0</v>
      </c>
      <c r="X137" s="53">
        <f>UNUSED4_MODELsub_ElecReferRacks!$C$40*'1_MODEL_assumptions'!X11</f>
        <v>0</v>
      </c>
      <c r="Y137" s="53">
        <f>UNUSED4_MODELsub_ElecReferRacks!$C$40*'1_MODEL_assumptions'!Y11</f>
        <v>0</v>
      </c>
      <c r="Z137" s="53">
        <f>UNUSED4_MODELsub_ElecReferRacks!$C$40*'1_MODEL_assumptions'!Z11</f>
        <v>0</v>
      </c>
      <c r="AA137" s="53">
        <f>UNUSED4_MODELsub_ElecReferRacks!$C$40*'1_MODEL_assumptions'!AA11</f>
        <v>0</v>
      </c>
      <c r="AB137" s="53">
        <f>UNUSED4_MODELsub_ElecReferRacks!$C$40*'1_MODEL_assumptions'!AB11</f>
        <v>0</v>
      </c>
      <c r="AC137" s="53">
        <f>UNUSED4_MODELsub_ElecReferRacks!$C$40*'1_MODEL_assumptions'!AC11</f>
        <v>0</v>
      </c>
      <c r="AD137" s="53">
        <f>UNUSED4_MODELsub_ElecReferRacks!$C$40*'1_MODEL_assumptions'!AD11</f>
        <v>0</v>
      </c>
      <c r="AE137" s="53">
        <f>UNUSED4_MODELsub_ElecReferRacks!$C$40*'1_MODEL_assumptions'!AE11</f>
        <v>0</v>
      </c>
      <c r="AF137" s="53">
        <f>UNUSED4_MODELsub_ElecReferRacks!$C$40*'1_MODEL_assumptions'!AF11</f>
        <v>0</v>
      </c>
      <c r="AG137" s="53">
        <f>UNUSED4_MODELsub_ElecReferRacks!$C$40*'1_MODEL_assumptions'!AG11</f>
        <v>0</v>
      </c>
      <c r="AH137" s="53">
        <f>UNUSED4_MODELsub_ElecReferRacks!$C$40*'1_MODEL_assumptions'!AH11</f>
        <v>0</v>
      </c>
    </row>
    <row r="138" spans="3:34" x14ac:dyDescent="0.2">
      <c r="C138" s="1"/>
      <c r="D138" s="63" t="s">
        <v>275</v>
      </c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</row>
    <row r="139" spans="3:34" x14ac:dyDescent="0.2">
      <c r="C139" s="1"/>
      <c r="D139" s="63" t="s">
        <v>356</v>
      </c>
      <c r="E139" t="s">
        <v>168</v>
      </c>
      <c r="G139" s="25">
        <f>SUM(I139:AH139)</f>
        <v>0</v>
      </c>
      <c r="I139" s="24"/>
      <c r="J139" s="24"/>
      <c r="K139" s="24">
        <f>K134*PARAMS!$C31</f>
        <v>0</v>
      </c>
      <c r="L139" s="24">
        <f>L134*PARAMS!$C31</f>
        <v>0</v>
      </c>
      <c r="M139" s="24">
        <f>M134*PARAMS!$C31</f>
        <v>0</v>
      </c>
      <c r="N139" s="24">
        <f>N134*PARAMS!$C31</f>
        <v>0</v>
      </c>
      <c r="O139" s="24">
        <f>O134*PARAMS!$C31</f>
        <v>0</v>
      </c>
      <c r="P139" s="24">
        <f>P134*PARAMS!$C31</f>
        <v>0</v>
      </c>
      <c r="Q139" s="24">
        <f>Q134*PARAMS!$C31</f>
        <v>0</v>
      </c>
      <c r="R139" s="24">
        <f>R134*PARAMS!$C31</f>
        <v>0</v>
      </c>
      <c r="S139" s="24">
        <f>S134*PARAMS!$C31</f>
        <v>0</v>
      </c>
      <c r="T139" s="24">
        <f>T134*PARAMS!$C31</f>
        <v>0</v>
      </c>
      <c r="U139" s="24">
        <f>U134*PARAMS!$C31</f>
        <v>0</v>
      </c>
      <c r="V139" s="24">
        <f>V134*PARAMS!$C31</f>
        <v>0</v>
      </c>
      <c r="W139" s="24">
        <f>W134*PARAMS!$C31</f>
        <v>0</v>
      </c>
      <c r="X139" s="24">
        <f>X134*PARAMS!$C31</f>
        <v>0</v>
      </c>
      <c r="Y139" s="24">
        <f>Y134*PARAMS!$C31</f>
        <v>0</v>
      </c>
      <c r="Z139" s="24">
        <f>Z134*PARAMS!$C31</f>
        <v>0</v>
      </c>
      <c r="AA139" s="24">
        <f>AA134*PARAMS!$C31</f>
        <v>0</v>
      </c>
      <c r="AB139" s="24">
        <f>AB134*PARAMS!$C31</f>
        <v>0</v>
      </c>
      <c r="AC139" s="24">
        <f>AC134*PARAMS!$C31</f>
        <v>0</v>
      </c>
      <c r="AD139" s="24">
        <f>AD134*PARAMS!$C31</f>
        <v>0</v>
      </c>
      <c r="AE139" s="24">
        <f>AE134*PARAMS!$C31</f>
        <v>0</v>
      </c>
      <c r="AF139" s="24">
        <f>AF134*PARAMS!$C31</f>
        <v>0</v>
      </c>
      <c r="AG139" s="24">
        <f>AG134*PARAMS!$C31</f>
        <v>0</v>
      </c>
      <c r="AH139" s="24">
        <f>AH134*PARAMS!$C31</f>
        <v>0</v>
      </c>
    </row>
    <row r="140" spans="3:34" x14ac:dyDescent="0.2">
      <c r="C140" s="1"/>
      <c r="D140" t="s">
        <v>357</v>
      </c>
      <c r="E140" s="63" t="s">
        <v>168</v>
      </c>
      <c r="G140" s="25">
        <f>SUM(I140:AH140)</f>
        <v>0</v>
      </c>
      <c r="I140" s="24"/>
      <c r="J140" s="24"/>
      <c r="K140" s="24">
        <f>K135*PARAMS!$C32</f>
        <v>0</v>
      </c>
      <c r="L140" s="24">
        <f>L135*PARAMS!$C32</f>
        <v>0</v>
      </c>
      <c r="M140" s="24">
        <f>M135*PARAMS!$C32</f>
        <v>0</v>
      </c>
      <c r="N140" s="24">
        <f>N135*PARAMS!$C32</f>
        <v>0</v>
      </c>
      <c r="O140" s="24">
        <f>O135*PARAMS!$C32</f>
        <v>0</v>
      </c>
      <c r="P140" s="24">
        <f>P135*PARAMS!$C32</f>
        <v>0</v>
      </c>
      <c r="Q140" s="24">
        <f>Q135*PARAMS!$C32</f>
        <v>0</v>
      </c>
      <c r="R140" s="24">
        <f>R135*PARAMS!$C32</f>
        <v>0</v>
      </c>
      <c r="S140" s="24">
        <f>S135*PARAMS!$C32</f>
        <v>0</v>
      </c>
      <c r="T140" s="24">
        <f>T135*PARAMS!$C32</f>
        <v>0</v>
      </c>
      <c r="U140" s="24">
        <f>U135*PARAMS!$C32</f>
        <v>0</v>
      </c>
      <c r="V140" s="24">
        <f>V135*PARAMS!$C32</f>
        <v>0</v>
      </c>
      <c r="W140" s="24">
        <f>W135*PARAMS!$C32</f>
        <v>0</v>
      </c>
      <c r="X140" s="24">
        <f>X135*PARAMS!$C32</f>
        <v>0</v>
      </c>
      <c r="Y140" s="24">
        <f>Y135*PARAMS!$C32</f>
        <v>0</v>
      </c>
      <c r="Z140" s="24">
        <f>Z135*PARAMS!$C32</f>
        <v>0</v>
      </c>
      <c r="AA140" s="24">
        <f>AA135*PARAMS!$C32</f>
        <v>0</v>
      </c>
      <c r="AB140" s="24">
        <f>AB135*PARAMS!$C32</f>
        <v>0</v>
      </c>
      <c r="AC140" s="24">
        <f>AC135*PARAMS!$C32</f>
        <v>0</v>
      </c>
      <c r="AD140" s="24">
        <f>AD135*PARAMS!$C32</f>
        <v>0</v>
      </c>
      <c r="AE140" s="24">
        <f>AE135*PARAMS!$C32</f>
        <v>0</v>
      </c>
      <c r="AF140" s="24">
        <f>AF135*PARAMS!$C32</f>
        <v>0</v>
      </c>
      <c r="AG140" s="24">
        <f>AG135*PARAMS!$C32</f>
        <v>0</v>
      </c>
      <c r="AH140" s="24">
        <f>AH135*PARAMS!$C32</f>
        <v>0</v>
      </c>
    </row>
    <row r="141" spans="3:34" s="63" customFormat="1" x14ac:dyDescent="0.2">
      <c r="C141" s="64"/>
      <c r="D141" s="63" t="s">
        <v>358</v>
      </c>
      <c r="E141" s="63" t="s">
        <v>168</v>
      </c>
      <c r="G141" s="25">
        <f>SUM(I141:AH141)</f>
        <v>0</v>
      </c>
      <c r="I141" s="24"/>
      <c r="J141" s="24"/>
      <c r="K141" s="24">
        <f>K136*PARAMS!$C33</f>
        <v>0</v>
      </c>
      <c r="L141" s="24">
        <f>L136*PARAMS!$C33</f>
        <v>0</v>
      </c>
      <c r="M141" s="24">
        <f>M136*PARAMS!$C33</f>
        <v>0</v>
      </c>
      <c r="N141" s="24">
        <f>N136*PARAMS!$C33</f>
        <v>0</v>
      </c>
      <c r="O141" s="24">
        <f>O136*PARAMS!$C33</f>
        <v>0</v>
      </c>
      <c r="P141" s="24">
        <f>P136*PARAMS!$C33</f>
        <v>0</v>
      </c>
      <c r="Q141" s="24">
        <f>Q136*PARAMS!$C33</f>
        <v>0</v>
      </c>
      <c r="R141" s="24">
        <f>R136*PARAMS!$C33</f>
        <v>0</v>
      </c>
      <c r="S141" s="24">
        <f>S136*PARAMS!$C33</f>
        <v>0</v>
      </c>
      <c r="T141" s="24">
        <f>T136*PARAMS!$C33</f>
        <v>0</v>
      </c>
      <c r="U141" s="24">
        <f>U136*PARAMS!$C33</f>
        <v>0</v>
      </c>
      <c r="V141" s="24">
        <f>V136*PARAMS!$C33</f>
        <v>0</v>
      </c>
      <c r="W141" s="24">
        <f>W136*PARAMS!$C33</f>
        <v>0</v>
      </c>
      <c r="X141" s="24">
        <f>X136*PARAMS!$C33</f>
        <v>0</v>
      </c>
      <c r="Y141" s="24">
        <f>Y136*PARAMS!$C33</f>
        <v>0</v>
      </c>
      <c r="Z141" s="24">
        <f>Z136*PARAMS!$C33</f>
        <v>0</v>
      </c>
      <c r="AA141" s="24">
        <f>AA136*PARAMS!$C33</f>
        <v>0</v>
      </c>
      <c r="AB141" s="24">
        <f>AB136*PARAMS!$C33</f>
        <v>0</v>
      </c>
      <c r="AC141" s="24">
        <f>AC136*PARAMS!$C33</f>
        <v>0</v>
      </c>
      <c r="AD141" s="24">
        <f>AD136*PARAMS!$C33</f>
        <v>0</v>
      </c>
      <c r="AE141" s="24">
        <f>AE136*PARAMS!$C33</f>
        <v>0</v>
      </c>
      <c r="AF141" s="24">
        <f>AF136*PARAMS!$C33</f>
        <v>0</v>
      </c>
      <c r="AG141" s="24">
        <f>AG136*PARAMS!$C33</f>
        <v>0</v>
      </c>
      <c r="AH141" s="24">
        <f>AH136*PARAMS!$C33</f>
        <v>0</v>
      </c>
    </row>
    <row r="142" spans="3:34" s="63" customFormat="1" x14ac:dyDescent="0.2">
      <c r="C142" s="64"/>
      <c r="D142" s="63" t="s">
        <v>359</v>
      </c>
      <c r="E142" s="63" t="s">
        <v>168</v>
      </c>
      <c r="G142" s="25">
        <f>SUM(I142:AH142)</f>
        <v>0</v>
      </c>
      <c r="I142" s="24"/>
      <c r="J142" s="24"/>
      <c r="K142" s="24">
        <f>K137*PARAMS!$C34</f>
        <v>0</v>
      </c>
      <c r="L142" s="24">
        <f>L137*PARAMS!$C34</f>
        <v>0</v>
      </c>
      <c r="M142" s="24">
        <f>M137*PARAMS!$C34</f>
        <v>0</v>
      </c>
      <c r="N142" s="24">
        <f>N137*PARAMS!$C34</f>
        <v>0</v>
      </c>
      <c r="O142" s="24">
        <f>O137*PARAMS!$C34</f>
        <v>0</v>
      </c>
      <c r="P142" s="24">
        <f>P137*PARAMS!$C34</f>
        <v>0</v>
      </c>
      <c r="Q142" s="24">
        <f>Q137*PARAMS!$C34</f>
        <v>0</v>
      </c>
      <c r="R142" s="24">
        <f>R137*PARAMS!$C34</f>
        <v>0</v>
      </c>
      <c r="S142" s="24">
        <f>S137*PARAMS!$C34</f>
        <v>0</v>
      </c>
      <c r="T142" s="24">
        <f>T137*PARAMS!$C34</f>
        <v>0</v>
      </c>
      <c r="U142" s="24">
        <f>U137*PARAMS!$C34</f>
        <v>0</v>
      </c>
      <c r="V142" s="24">
        <f>V137*PARAMS!$C34</f>
        <v>0</v>
      </c>
      <c r="W142" s="24">
        <f>W137*PARAMS!$C34</f>
        <v>0</v>
      </c>
      <c r="X142" s="24">
        <f>X137*PARAMS!$C34</f>
        <v>0</v>
      </c>
      <c r="Y142" s="24">
        <f>Y137*PARAMS!$C34</f>
        <v>0</v>
      </c>
      <c r="Z142" s="24">
        <f>Z137*PARAMS!$C34</f>
        <v>0</v>
      </c>
      <c r="AA142" s="24">
        <f>AA137*PARAMS!$C34</f>
        <v>0</v>
      </c>
      <c r="AB142" s="24">
        <f>AB137*PARAMS!$C34</f>
        <v>0</v>
      </c>
      <c r="AC142" s="24">
        <f>AC137*PARAMS!$C34</f>
        <v>0</v>
      </c>
      <c r="AD142" s="24">
        <f>AD137*PARAMS!$C34</f>
        <v>0</v>
      </c>
      <c r="AE142" s="24">
        <f>AE137*PARAMS!$C34</f>
        <v>0</v>
      </c>
      <c r="AF142" s="24">
        <f>AF137*PARAMS!$C34</f>
        <v>0</v>
      </c>
      <c r="AG142" s="24">
        <f>AG137*PARAMS!$C34</f>
        <v>0</v>
      </c>
      <c r="AH142" s="24">
        <f>AH137*PARAMS!$C34</f>
        <v>0</v>
      </c>
    </row>
    <row r="143" spans="3:34" s="63" customFormat="1" x14ac:dyDescent="0.2">
      <c r="C143" s="64"/>
      <c r="D143" s="63" t="s">
        <v>19</v>
      </c>
      <c r="E143" s="63" t="s">
        <v>168</v>
      </c>
      <c r="G143" s="25">
        <f>SUM(G139:G142)</f>
        <v>0</v>
      </c>
      <c r="I143" s="24"/>
      <c r="J143" s="24"/>
      <c r="K143" s="24">
        <f t="shared" ref="K143:AG143" si="64">SUM(K139:K142)</f>
        <v>0</v>
      </c>
      <c r="L143" s="24">
        <f t="shared" si="64"/>
        <v>0</v>
      </c>
      <c r="M143" s="24">
        <f t="shared" si="64"/>
        <v>0</v>
      </c>
      <c r="N143" s="24">
        <f t="shared" si="64"/>
        <v>0</v>
      </c>
      <c r="O143" s="24">
        <f t="shared" si="64"/>
        <v>0</v>
      </c>
      <c r="P143" s="24">
        <f t="shared" si="64"/>
        <v>0</v>
      </c>
      <c r="Q143" s="24">
        <f t="shared" si="64"/>
        <v>0</v>
      </c>
      <c r="R143" s="24">
        <f t="shared" si="64"/>
        <v>0</v>
      </c>
      <c r="S143" s="24">
        <f t="shared" si="64"/>
        <v>0</v>
      </c>
      <c r="T143" s="24">
        <f t="shared" si="64"/>
        <v>0</v>
      </c>
      <c r="U143" s="24">
        <f t="shared" si="64"/>
        <v>0</v>
      </c>
      <c r="V143" s="24">
        <f t="shared" si="64"/>
        <v>0</v>
      </c>
      <c r="W143" s="24">
        <f t="shared" si="64"/>
        <v>0</v>
      </c>
      <c r="X143" s="24">
        <f t="shared" si="64"/>
        <v>0</v>
      </c>
      <c r="Y143" s="24">
        <f t="shared" si="64"/>
        <v>0</v>
      </c>
      <c r="Z143" s="24">
        <f t="shared" si="64"/>
        <v>0</v>
      </c>
      <c r="AA143" s="24">
        <f t="shared" si="64"/>
        <v>0</v>
      </c>
      <c r="AB143" s="24">
        <f t="shared" si="64"/>
        <v>0</v>
      </c>
      <c r="AC143" s="24">
        <f t="shared" si="64"/>
        <v>0</v>
      </c>
      <c r="AD143" s="24">
        <f t="shared" si="64"/>
        <v>0</v>
      </c>
      <c r="AE143" s="24">
        <f t="shared" si="64"/>
        <v>0</v>
      </c>
      <c r="AF143" s="24">
        <f t="shared" si="64"/>
        <v>0</v>
      </c>
      <c r="AG143" s="24">
        <f t="shared" si="64"/>
        <v>0</v>
      </c>
      <c r="AH143" s="24">
        <f t="shared" ref="AH143" si="65">SUM(AH139:AH142)</f>
        <v>0</v>
      </c>
    </row>
    <row r="144" spans="3:34" s="58" customFormat="1" x14ac:dyDescent="0.2">
      <c r="D144" s="58" t="s">
        <v>240</v>
      </c>
      <c r="E144" s="58" t="s">
        <v>168</v>
      </c>
      <c r="G144" s="59">
        <f>SUM(H144:AH144)</f>
        <v>0</v>
      </c>
      <c r="H144" s="59"/>
      <c r="I144" s="59">
        <f>I143/'1_MODEL_assumptions'!I$36</f>
        <v>0</v>
      </c>
      <c r="J144" s="59">
        <f>J143/'1_MODEL_assumptions'!J$36</f>
        <v>0</v>
      </c>
      <c r="K144" s="59">
        <f>K143/'1_MODEL_assumptions'!K$36</f>
        <v>0</v>
      </c>
      <c r="L144" s="59">
        <f>L143/'1_MODEL_assumptions'!L$36</f>
        <v>0</v>
      </c>
      <c r="M144" s="59">
        <f>M143/'1_MODEL_assumptions'!M$36</f>
        <v>0</v>
      </c>
      <c r="N144" s="59">
        <f>N143/'1_MODEL_assumptions'!N$36</f>
        <v>0</v>
      </c>
      <c r="O144" s="59">
        <f>O143/'1_MODEL_assumptions'!O$36</f>
        <v>0</v>
      </c>
      <c r="P144" s="59">
        <f>P143/'1_MODEL_assumptions'!P$36</f>
        <v>0</v>
      </c>
      <c r="Q144" s="59">
        <f>Q143/'1_MODEL_assumptions'!Q$36</f>
        <v>0</v>
      </c>
      <c r="R144" s="59">
        <f>R143/'1_MODEL_assumptions'!R$36</f>
        <v>0</v>
      </c>
      <c r="S144" s="59">
        <f>S143/'1_MODEL_assumptions'!S$36</f>
        <v>0</v>
      </c>
      <c r="T144" s="59">
        <f>T143/'1_MODEL_assumptions'!T$36</f>
        <v>0</v>
      </c>
      <c r="U144" s="59">
        <f>U143/'1_MODEL_assumptions'!U$36</f>
        <v>0</v>
      </c>
      <c r="V144" s="59">
        <f>V143/'1_MODEL_assumptions'!V$36</f>
        <v>0</v>
      </c>
      <c r="W144" s="59">
        <f>W143/'1_MODEL_assumptions'!W$36</f>
        <v>0</v>
      </c>
      <c r="X144" s="59">
        <f>X143/'1_MODEL_assumptions'!X$36</f>
        <v>0</v>
      </c>
      <c r="Y144" s="59">
        <f>Y143/'1_MODEL_assumptions'!Y$36</f>
        <v>0</v>
      </c>
      <c r="Z144" s="59">
        <f>Z143/'1_MODEL_assumptions'!Z$36</f>
        <v>0</v>
      </c>
      <c r="AA144" s="59">
        <f>AA143/'1_MODEL_assumptions'!AA$36</f>
        <v>0</v>
      </c>
      <c r="AB144" s="59">
        <f>AB143/'1_MODEL_assumptions'!AB$36</f>
        <v>0</v>
      </c>
      <c r="AC144" s="59">
        <f>AC143/'1_MODEL_assumptions'!AC$36</f>
        <v>0</v>
      </c>
      <c r="AD144" s="59">
        <f>AD143/'1_MODEL_assumptions'!AD$36</f>
        <v>0</v>
      </c>
      <c r="AE144" s="59">
        <f>AE143/'1_MODEL_assumptions'!AE$36</f>
        <v>0</v>
      </c>
      <c r="AF144" s="59">
        <f>AF143/'1_MODEL_assumptions'!AF$36</f>
        <v>0</v>
      </c>
      <c r="AG144" s="59">
        <f>AG143/'1_MODEL_assumptions'!AG$36</f>
        <v>0</v>
      </c>
      <c r="AH144" s="59">
        <f>AH143/'1_MODEL_assumptions'!AH$36</f>
        <v>0</v>
      </c>
    </row>
    <row r="145" spans="2:34" s="63" customFormat="1" x14ac:dyDescent="0.2">
      <c r="C145" s="6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</row>
    <row r="146" spans="2:34" s="63" customFormat="1" x14ac:dyDescent="0.2">
      <c r="C146" s="64" t="s">
        <v>361</v>
      </c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</row>
    <row r="147" spans="2:34" s="63" customFormat="1" x14ac:dyDescent="0.2">
      <c r="C147" s="64"/>
      <c r="D147" s="16" t="s">
        <v>362</v>
      </c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</row>
    <row r="148" spans="2:34" x14ac:dyDescent="0.2">
      <c r="C148" s="1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</row>
    <row r="149" spans="2:34" x14ac:dyDescent="0.2">
      <c r="B149" s="1" t="s">
        <v>178</v>
      </c>
    </row>
    <row r="150" spans="2:34" x14ac:dyDescent="0.2">
      <c r="C150" t="s">
        <v>154</v>
      </c>
      <c r="D150" s="16" t="s">
        <v>276</v>
      </c>
    </row>
    <row r="151" spans="2:34" x14ac:dyDescent="0.2">
      <c r="C151" t="s">
        <v>218</v>
      </c>
      <c r="D151" t="s">
        <v>276</v>
      </c>
    </row>
    <row r="152" spans="2:34" x14ac:dyDescent="0.2">
      <c r="C152" s="1"/>
    </row>
    <row r="175" spans="7:7" x14ac:dyDescent="0.2">
      <c r="G175" s="27"/>
    </row>
    <row r="176" spans="7:7" x14ac:dyDescent="0.2">
      <c r="G176" s="27"/>
    </row>
    <row r="177" spans="7:7" x14ac:dyDescent="0.2">
      <c r="G177" s="63"/>
    </row>
    <row r="178" spans="7:7" x14ac:dyDescent="0.2">
      <c r="G178" s="27"/>
    </row>
    <row r="179" spans="7:7" x14ac:dyDescent="0.2">
      <c r="G179" s="24"/>
    </row>
    <row r="180" spans="7:7" x14ac:dyDescent="0.2">
      <c r="G180" s="24"/>
    </row>
    <row r="181" spans="7:7" x14ac:dyDescent="0.2">
      <c r="G181" s="24"/>
    </row>
    <row r="182" spans="7:7" x14ac:dyDescent="0.2">
      <c r="G182" s="24"/>
    </row>
  </sheetData>
  <mergeCells count="1">
    <mergeCell ref="H5:H10"/>
  </mergeCells>
  <hyperlinks>
    <hyperlink ref="F4" r:id="rId1" xr:uid="{E8F2773C-E3D9-4F95-AB99-9B460CFF72C5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9A4F-E691-4410-AE56-EA5F8F23C896}">
  <dimension ref="A1:M95"/>
  <sheetViews>
    <sheetView workbookViewId="0"/>
  </sheetViews>
  <sheetFormatPr baseColWidth="10" defaultColWidth="8.83203125" defaultRowHeight="15" x14ac:dyDescent="0.2"/>
  <cols>
    <col min="2" max="2" width="42.83203125" customWidth="1"/>
    <col min="3" max="3" width="16.33203125" bestFit="1" customWidth="1"/>
    <col min="4" max="4" width="22" bestFit="1" customWidth="1"/>
  </cols>
  <sheetData>
    <row r="1" spans="1:13" x14ac:dyDescent="0.2">
      <c r="A1" s="64" t="s">
        <v>398</v>
      </c>
    </row>
    <row r="3" spans="1:13" x14ac:dyDescent="0.2">
      <c r="B3" s="1" t="s">
        <v>4</v>
      </c>
      <c r="C3" s="1" t="s">
        <v>5</v>
      </c>
      <c r="D3" s="1" t="s">
        <v>6</v>
      </c>
      <c r="E3" s="1" t="s">
        <v>7</v>
      </c>
      <c r="F3" s="1"/>
      <c r="G3" s="1"/>
      <c r="H3" s="1"/>
      <c r="I3" s="1"/>
      <c r="J3" s="1"/>
      <c r="K3" s="1"/>
      <c r="L3" s="1" t="s">
        <v>8</v>
      </c>
    </row>
    <row r="5" spans="1:13" x14ac:dyDescent="0.2">
      <c r="B5" t="s">
        <v>136</v>
      </c>
      <c r="C5">
        <v>1.821</v>
      </c>
      <c r="D5" t="s">
        <v>125</v>
      </c>
      <c r="E5" t="s">
        <v>405</v>
      </c>
      <c r="L5" s="6" t="s">
        <v>404</v>
      </c>
      <c r="M5" s="6" t="s">
        <v>403</v>
      </c>
    </row>
    <row r="6" spans="1:13" x14ac:dyDescent="0.2">
      <c r="B6" t="s">
        <v>139</v>
      </c>
      <c r="C6">
        <v>2002</v>
      </c>
      <c r="D6">
        <v>2020</v>
      </c>
    </row>
    <row r="7" spans="1:13" x14ac:dyDescent="0.2">
      <c r="B7" t="s">
        <v>167</v>
      </c>
      <c r="C7">
        <v>1</v>
      </c>
      <c r="D7">
        <f>'1_MODEL_assumptions'!H16</f>
        <v>1.4347999999999999</v>
      </c>
      <c r="F7" t="s">
        <v>231</v>
      </c>
      <c r="H7" t="s">
        <v>233</v>
      </c>
      <c r="I7" t="s">
        <v>234</v>
      </c>
    </row>
    <row r="8" spans="1:13" x14ac:dyDescent="0.2">
      <c r="B8" t="s">
        <v>140</v>
      </c>
      <c r="C8" s="47">
        <v>0.10967987804878049</v>
      </c>
      <c r="D8" s="46">
        <f t="shared" ref="D8:D15" si="0">C8*$D$7</f>
        <v>0.15736868902439022</v>
      </c>
      <c r="E8" t="s">
        <v>125</v>
      </c>
      <c r="F8" s="18">
        <f>0.184+0.06</f>
        <v>0.24399999999999999</v>
      </c>
      <c r="G8" t="s">
        <v>232</v>
      </c>
      <c r="H8">
        <f>truckmpg</f>
        <v>5.9</v>
      </c>
      <c r="I8" s="18">
        <f>F8/H8</f>
        <v>4.1355932203389824E-2</v>
      </c>
      <c r="J8" s="18">
        <f>D8-I8</f>
        <v>0.1160127568210004</v>
      </c>
    </row>
    <row r="9" spans="1:13" x14ac:dyDescent="0.2">
      <c r="B9" t="s">
        <v>141</v>
      </c>
      <c r="C9" s="47">
        <v>0.18681671216114423</v>
      </c>
      <c r="D9" s="46">
        <f t="shared" si="0"/>
        <v>0.26804461860880974</v>
      </c>
      <c r="E9" t="s">
        <v>125</v>
      </c>
    </row>
    <row r="10" spans="1:13" x14ac:dyDescent="0.2">
      <c r="B10" t="s">
        <v>142</v>
      </c>
      <c r="C10" s="47">
        <v>4.5612128200301118E-2</v>
      </c>
      <c r="D10" s="46">
        <f t="shared" si="0"/>
        <v>6.5444281541792035E-2</v>
      </c>
      <c r="E10" t="s">
        <v>125</v>
      </c>
    </row>
    <row r="11" spans="1:13" x14ac:dyDescent="0.2">
      <c r="B11" t="s">
        <v>143</v>
      </c>
      <c r="C11" s="47">
        <v>2.7936158697289104E-2</v>
      </c>
      <c r="D11" s="46">
        <f t="shared" si="0"/>
        <v>4.0082800498870405E-2</v>
      </c>
      <c r="E11" t="s">
        <v>125</v>
      </c>
    </row>
    <row r="12" spans="1:13" x14ac:dyDescent="0.2">
      <c r="B12" t="s">
        <v>144</v>
      </c>
      <c r="C12" s="47">
        <v>3.4470818815331018E-2</v>
      </c>
      <c r="D12" s="46">
        <f t="shared" si="0"/>
        <v>4.945873083623694E-2</v>
      </c>
      <c r="E12" t="s">
        <v>125</v>
      </c>
      <c r="F12" s="18">
        <v>0.184</v>
      </c>
      <c r="G12" t="s">
        <v>232</v>
      </c>
      <c r="H12">
        <f>truckmpg</f>
        <v>5.9</v>
      </c>
      <c r="I12" s="18">
        <f>F12/H12</f>
        <v>3.1186440677966099E-2</v>
      </c>
      <c r="J12" s="18">
        <f>D12-I12</f>
        <v>1.8272290158270841E-2</v>
      </c>
    </row>
    <row r="13" spans="1:13" x14ac:dyDescent="0.2">
      <c r="B13" t="s">
        <v>145</v>
      </c>
      <c r="C13" s="47">
        <v>1.9637921022067361E-2</v>
      </c>
      <c r="D13" s="46">
        <f t="shared" si="0"/>
        <v>2.8176489082462248E-2</v>
      </c>
      <c r="E13" t="s">
        <v>125</v>
      </c>
    </row>
    <row r="14" spans="1:13" x14ac:dyDescent="0.2">
      <c r="B14" t="s">
        <v>146</v>
      </c>
      <c r="C14" s="47">
        <v>4.0215955284552844E-2</v>
      </c>
      <c r="D14" s="46">
        <f t="shared" si="0"/>
        <v>5.7701852642276417E-2</v>
      </c>
      <c r="E14" t="s">
        <v>125</v>
      </c>
    </row>
    <row r="15" spans="1:13" x14ac:dyDescent="0.2">
      <c r="B15" t="s">
        <v>147</v>
      </c>
      <c r="C15" s="47">
        <v>1.7757694541231126E-3</v>
      </c>
      <c r="D15" s="46">
        <f t="shared" si="0"/>
        <v>2.5478740127758415E-3</v>
      </c>
      <c r="E15" t="s">
        <v>125</v>
      </c>
    </row>
    <row r="16" spans="1:13" x14ac:dyDescent="0.2">
      <c r="B16" t="s">
        <v>243</v>
      </c>
      <c r="C16" s="47">
        <v>0.88</v>
      </c>
      <c r="D16" s="46">
        <f t="shared" ref="D16:D17" si="1">C16*$D$7</f>
        <v>1.262624</v>
      </c>
      <c r="E16" t="s">
        <v>125</v>
      </c>
      <c r="L16" s="6" t="s">
        <v>245</v>
      </c>
      <c r="M16" t="s">
        <v>246</v>
      </c>
    </row>
    <row r="17" spans="1:13" x14ac:dyDescent="0.2">
      <c r="B17" t="s">
        <v>244</v>
      </c>
      <c r="C17" s="47">
        <v>1.1499999999999999</v>
      </c>
      <c r="D17" s="46">
        <f t="shared" si="1"/>
        <v>1.6500199999999996</v>
      </c>
      <c r="E17" t="s">
        <v>125</v>
      </c>
      <c r="L17" s="6" t="s">
        <v>245</v>
      </c>
      <c r="M17" t="s">
        <v>246</v>
      </c>
    </row>
    <row r="18" spans="1:13" s="63" customFormat="1" x14ac:dyDescent="0.2">
      <c r="A18" s="63" t="s">
        <v>410</v>
      </c>
      <c r="B18" s="63" t="s">
        <v>411</v>
      </c>
      <c r="C18" s="36">
        <v>0.86</v>
      </c>
      <c r="D18" s="46" t="s">
        <v>412</v>
      </c>
      <c r="L18" s="6" t="s">
        <v>413</v>
      </c>
    </row>
    <row r="19" spans="1:13" s="63" customFormat="1" x14ac:dyDescent="0.2">
      <c r="A19" s="63" t="s">
        <v>410</v>
      </c>
      <c r="B19" s="63" t="s">
        <v>414</v>
      </c>
      <c r="C19" s="36">
        <v>1.7</v>
      </c>
      <c r="D19" s="46" t="s">
        <v>412</v>
      </c>
      <c r="L19" s="6" t="s">
        <v>413</v>
      </c>
    </row>
    <row r="20" spans="1:13" s="63" customFormat="1" x14ac:dyDescent="0.2">
      <c r="A20" s="63" t="s">
        <v>410</v>
      </c>
      <c r="B20" s="63" t="s">
        <v>415</v>
      </c>
      <c r="C20" s="79">
        <v>9600000</v>
      </c>
      <c r="D20" s="46" t="s">
        <v>416</v>
      </c>
      <c r="E20" s="63" t="s">
        <v>417</v>
      </c>
      <c r="L20" s="6" t="s">
        <v>418</v>
      </c>
    </row>
    <row r="21" spans="1:13" x14ac:dyDescent="0.2">
      <c r="B21" t="s">
        <v>148</v>
      </c>
      <c r="C21" s="5">
        <v>0.3</v>
      </c>
    </row>
    <row r="22" spans="1:13" x14ac:dyDescent="0.2">
      <c r="B22" t="s">
        <v>149</v>
      </c>
      <c r="C22" s="5">
        <v>0.7</v>
      </c>
    </row>
    <row r="23" spans="1:13" x14ac:dyDescent="0.2">
      <c r="B23" t="s">
        <v>150</v>
      </c>
      <c r="C23">
        <v>5.9</v>
      </c>
      <c r="D23" t="s">
        <v>151</v>
      </c>
      <c r="L23" s="6" t="s">
        <v>152</v>
      </c>
      <c r="M23" t="s">
        <v>153</v>
      </c>
    </row>
    <row r="24" spans="1:13" x14ac:dyDescent="0.2">
      <c r="B24" t="s">
        <v>293</v>
      </c>
      <c r="E24" t="s">
        <v>255</v>
      </c>
    </row>
    <row r="25" spans="1:13" x14ac:dyDescent="0.2">
      <c r="B25" t="s">
        <v>256</v>
      </c>
      <c r="C25">
        <v>4.5819000000000001</v>
      </c>
      <c r="D25" t="s">
        <v>261</v>
      </c>
      <c r="L25" t="s">
        <v>260</v>
      </c>
    </row>
    <row r="26" spans="1:13" x14ac:dyDescent="0.2">
      <c r="B26" t="s">
        <v>257</v>
      </c>
      <c r="C26">
        <v>0.40510000000000002</v>
      </c>
      <c r="D26" t="s">
        <v>261</v>
      </c>
      <c r="L26" t="s">
        <v>260</v>
      </c>
    </row>
    <row r="27" spans="1:13" x14ac:dyDescent="0.2">
      <c r="B27" t="s">
        <v>258</v>
      </c>
      <c r="C27">
        <f>SUM(0.0331)</f>
        <v>3.3099999999999997E-2</v>
      </c>
      <c r="D27" t="s">
        <v>261</v>
      </c>
      <c r="L27" t="s">
        <v>260</v>
      </c>
    </row>
    <row r="28" spans="1:13" x14ac:dyDescent="0.2">
      <c r="B28" t="s">
        <v>259</v>
      </c>
      <c r="C28">
        <v>1.49E-2</v>
      </c>
      <c r="D28" t="s">
        <v>261</v>
      </c>
      <c r="L28" t="s">
        <v>260</v>
      </c>
    </row>
    <row r="29" spans="1:13" x14ac:dyDescent="0.2">
      <c r="B29" t="s">
        <v>269</v>
      </c>
      <c r="C29">
        <v>22.4</v>
      </c>
      <c r="D29" t="s">
        <v>270</v>
      </c>
      <c r="L29" s="6" t="s">
        <v>271</v>
      </c>
    </row>
    <row r="30" spans="1:13" x14ac:dyDescent="0.2">
      <c r="B30" t="s">
        <v>266</v>
      </c>
      <c r="L30" s="6"/>
    </row>
    <row r="31" spans="1:13" x14ac:dyDescent="0.2">
      <c r="B31" t="str">
        <f>B25</f>
        <v xml:space="preserve">   NOx</v>
      </c>
      <c r="C31" s="34">
        <v>8300</v>
      </c>
      <c r="D31" t="s">
        <v>267</v>
      </c>
      <c r="L31" t="s">
        <v>268</v>
      </c>
    </row>
    <row r="32" spans="1:13" x14ac:dyDescent="0.2">
      <c r="B32" t="str">
        <f>B26</f>
        <v xml:space="preserve">   VOCs</v>
      </c>
      <c r="C32" s="34">
        <v>2000</v>
      </c>
      <c r="D32" t="s">
        <v>267</v>
      </c>
      <c r="L32" t="s">
        <v>268</v>
      </c>
    </row>
    <row r="33" spans="2:12" x14ac:dyDescent="0.2">
      <c r="B33" t="str">
        <f>B27</f>
        <v xml:space="preserve">   PM2.5</v>
      </c>
      <c r="C33" s="34">
        <v>377800</v>
      </c>
      <c r="D33" t="s">
        <v>267</v>
      </c>
      <c r="L33" t="s">
        <v>268</v>
      </c>
    </row>
    <row r="34" spans="2:12" x14ac:dyDescent="0.2">
      <c r="B34" t="str">
        <f>B28</f>
        <v xml:space="preserve">   SO2</v>
      </c>
      <c r="C34" s="34">
        <v>48900</v>
      </c>
      <c r="D34" t="s">
        <v>267</v>
      </c>
      <c r="L34" t="s">
        <v>268</v>
      </c>
    </row>
    <row r="35" spans="2:12" x14ac:dyDescent="0.2">
      <c r="B35" t="s">
        <v>278</v>
      </c>
      <c r="C35" s="23">
        <v>18</v>
      </c>
      <c r="D35" t="s">
        <v>279</v>
      </c>
    </row>
    <row r="36" spans="2:12" x14ac:dyDescent="0.2">
      <c r="B36" t="s">
        <v>291</v>
      </c>
      <c r="C36" s="49">
        <v>1.6000000000000001E-3</v>
      </c>
      <c r="D36" t="s">
        <v>125</v>
      </c>
      <c r="L36" s="6" t="s">
        <v>292</v>
      </c>
    </row>
    <row r="37" spans="2:12" x14ac:dyDescent="0.2">
      <c r="B37" t="s">
        <v>294</v>
      </c>
      <c r="C37" s="34"/>
    </row>
    <row r="38" spans="2:12" x14ac:dyDescent="0.2">
      <c r="B38" t="s">
        <v>256</v>
      </c>
      <c r="C38" s="51">
        <v>1.3</v>
      </c>
      <c r="D38" t="s">
        <v>297</v>
      </c>
      <c r="E38" t="s">
        <v>316</v>
      </c>
      <c r="L38" s="6" t="s">
        <v>298</v>
      </c>
    </row>
    <row r="39" spans="2:12" x14ac:dyDescent="0.2">
      <c r="B39" t="s">
        <v>257</v>
      </c>
      <c r="C39" s="50">
        <v>0.14000000000000001</v>
      </c>
      <c r="D39" t="s">
        <v>297</v>
      </c>
      <c r="E39" t="s">
        <v>316</v>
      </c>
      <c r="L39" t="s">
        <v>298</v>
      </c>
    </row>
    <row r="40" spans="2:12" x14ac:dyDescent="0.2">
      <c r="B40" t="s">
        <v>258</v>
      </c>
      <c r="C40" s="50">
        <v>6.0000000000000001E-3</v>
      </c>
      <c r="D40" t="s">
        <v>297</v>
      </c>
      <c r="E40" t="s">
        <v>316</v>
      </c>
      <c r="L40" t="s">
        <v>314</v>
      </c>
    </row>
    <row r="41" spans="2:12" x14ac:dyDescent="0.2">
      <c r="B41" t="s">
        <v>295</v>
      </c>
      <c r="C41" s="34" t="s">
        <v>296</v>
      </c>
    </row>
    <row r="42" spans="2:12" x14ac:dyDescent="0.2">
      <c r="B42" t="s">
        <v>300</v>
      </c>
      <c r="C42" s="36">
        <v>20.8</v>
      </c>
      <c r="D42" t="s">
        <v>301</v>
      </c>
      <c r="E42" t="s">
        <v>316</v>
      </c>
      <c r="L42" t="s">
        <v>298</v>
      </c>
    </row>
    <row r="43" spans="2:12" x14ac:dyDescent="0.2">
      <c r="B43" t="str">
        <f>B38</f>
        <v xml:space="preserve">   NOx</v>
      </c>
      <c r="C43" s="36">
        <f>C38*C$42</f>
        <v>27.040000000000003</v>
      </c>
      <c r="D43" t="s">
        <v>299</v>
      </c>
      <c r="E43" t="s">
        <v>316</v>
      </c>
      <c r="L43" t="s">
        <v>302</v>
      </c>
    </row>
    <row r="44" spans="2:12" x14ac:dyDescent="0.2">
      <c r="B44" t="str">
        <f>B39</f>
        <v xml:space="preserve">   VOCs</v>
      </c>
      <c r="C44" s="36">
        <f>C39*C$42</f>
        <v>2.9120000000000004</v>
      </c>
      <c r="D44" t="s">
        <v>299</v>
      </c>
      <c r="E44" t="s">
        <v>316</v>
      </c>
      <c r="L44" t="s">
        <v>302</v>
      </c>
    </row>
    <row r="45" spans="2:12" x14ac:dyDescent="0.2">
      <c r="B45" t="str">
        <f>B40</f>
        <v xml:space="preserve">   PM2.5</v>
      </c>
      <c r="C45" s="36">
        <f>C40*C$42</f>
        <v>0.12480000000000001</v>
      </c>
      <c r="D45" t="s">
        <v>299</v>
      </c>
      <c r="E45" t="s">
        <v>316</v>
      </c>
      <c r="L45" t="s">
        <v>302</v>
      </c>
    </row>
    <row r="46" spans="2:12" x14ac:dyDescent="0.2">
      <c r="B46" t="str">
        <f>B41</f>
        <v xml:space="preserve">   SO2  </v>
      </c>
      <c r="C46" s="36" t="s">
        <v>296</v>
      </c>
      <c r="D46" t="s">
        <v>299</v>
      </c>
      <c r="E46" t="s">
        <v>316</v>
      </c>
    </row>
    <row r="47" spans="2:12" x14ac:dyDescent="0.2">
      <c r="B47" t="s">
        <v>303</v>
      </c>
      <c r="C47" s="36">
        <v>400</v>
      </c>
      <c r="D47" t="s">
        <v>309</v>
      </c>
      <c r="E47" t="s">
        <v>305</v>
      </c>
      <c r="L47" s="6" t="s">
        <v>298</v>
      </c>
    </row>
    <row r="48" spans="2:12" x14ac:dyDescent="0.2">
      <c r="B48" t="str">
        <f>B43</f>
        <v xml:space="preserve">   NOx</v>
      </c>
      <c r="C48" s="52">
        <f>C43/C$47</f>
        <v>6.7600000000000007E-2</v>
      </c>
      <c r="D48" t="s">
        <v>306</v>
      </c>
      <c r="E48" t="s">
        <v>316</v>
      </c>
    </row>
    <row r="49" spans="1:12" x14ac:dyDescent="0.2">
      <c r="B49" t="str">
        <f>B44</f>
        <v xml:space="preserve">   VOCs</v>
      </c>
      <c r="C49" s="52">
        <f>C44/C$47</f>
        <v>7.2800000000000009E-3</v>
      </c>
      <c r="D49" t="s">
        <v>306</v>
      </c>
      <c r="E49" t="s">
        <v>316</v>
      </c>
    </row>
    <row r="50" spans="1:12" x14ac:dyDescent="0.2">
      <c r="B50" t="str">
        <f>B45</f>
        <v xml:space="preserve">   PM2.5</v>
      </c>
      <c r="C50" s="52">
        <f>C45/C$47</f>
        <v>3.1199999999999999E-4</v>
      </c>
      <c r="D50" t="s">
        <v>306</v>
      </c>
      <c r="E50" t="s">
        <v>316</v>
      </c>
    </row>
    <row r="51" spans="1:12" x14ac:dyDescent="0.2">
      <c r="B51" t="str">
        <f>B46</f>
        <v xml:space="preserve">   SO2  </v>
      </c>
      <c r="C51" s="36" t="s">
        <v>296</v>
      </c>
      <c r="E51" t="s">
        <v>316</v>
      </c>
    </row>
    <row r="52" spans="1:12" x14ac:dyDescent="0.2">
      <c r="B52" t="s">
        <v>307</v>
      </c>
      <c r="C52" s="36"/>
      <c r="E52" t="s">
        <v>316</v>
      </c>
    </row>
    <row r="53" spans="1:12" x14ac:dyDescent="0.2">
      <c r="B53" t="str">
        <f>B48</f>
        <v xml:space="preserve">   NOx</v>
      </c>
      <c r="C53" s="56">
        <f>C48/$C$64</f>
        <v>7.4516223262068942E-8</v>
      </c>
      <c r="D53" t="s">
        <v>308</v>
      </c>
      <c r="E53" t="s">
        <v>316</v>
      </c>
    </row>
    <row r="54" spans="1:12" x14ac:dyDescent="0.2">
      <c r="B54" t="str">
        <f>B49</f>
        <v xml:space="preserve">   VOCs</v>
      </c>
      <c r="C54" s="56">
        <f>C49/$C$64</f>
        <v>8.0248240436074242E-9</v>
      </c>
      <c r="D54" t="s">
        <v>308</v>
      </c>
      <c r="E54" t="s">
        <v>316</v>
      </c>
    </row>
    <row r="55" spans="1:12" x14ac:dyDescent="0.2">
      <c r="B55" t="str">
        <f>B50</f>
        <v xml:space="preserve">   PM2.5</v>
      </c>
      <c r="C55" s="56">
        <f>C50/$C$64</f>
        <v>3.4392103044031814E-10</v>
      </c>
      <c r="D55" t="s">
        <v>308</v>
      </c>
      <c r="E55" t="s">
        <v>316</v>
      </c>
    </row>
    <row r="56" spans="1:12" x14ac:dyDescent="0.2">
      <c r="B56" t="str">
        <f>B51</f>
        <v xml:space="preserve">   SO2  </v>
      </c>
      <c r="C56" s="56" t="s">
        <v>296</v>
      </c>
      <c r="E56" t="s">
        <v>316</v>
      </c>
    </row>
    <row r="57" spans="1:12" x14ac:dyDescent="0.2">
      <c r="B57" t="s">
        <v>310</v>
      </c>
      <c r="C57" s="54">
        <f>1/C47</f>
        <v>2.5000000000000001E-3</v>
      </c>
      <c r="D57" t="s">
        <v>304</v>
      </c>
      <c r="E57" t="s">
        <v>316</v>
      </c>
    </row>
    <row r="58" spans="1:12" x14ac:dyDescent="0.2">
      <c r="B58" t="s">
        <v>311</v>
      </c>
      <c r="C58">
        <v>22.4</v>
      </c>
      <c r="D58" t="s">
        <v>270</v>
      </c>
      <c r="E58" t="s">
        <v>316</v>
      </c>
      <c r="L58" s="6" t="s">
        <v>271</v>
      </c>
    </row>
    <row r="59" spans="1:12" x14ac:dyDescent="0.2">
      <c r="B59" t="s">
        <v>311</v>
      </c>
      <c r="C59" s="55">
        <f>C57*C58/2000</f>
        <v>2.7999999999999996E-5</v>
      </c>
      <c r="D59" t="s">
        <v>312</v>
      </c>
      <c r="E59" t="s">
        <v>316</v>
      </c>
    </row>
    <row r="60" spans="1:12" x14ac:dyDescent="0.2">
      <c r="B60" t="s">
        <v>311</v>
      </c>
      <c r="C60" s="36">
        <f>C57*C58</f>
        <v>5.5999999999999994E-2</v>
      </c>
      <c r="D60" t="s">
        <v>317</v>
      </c>
      <c r="E60" t="s">
        <v>316</v>
      </c>
    </row>
    <row r="61" spans="1:12" x14ac:dyDescent="0.2">
      <c r="C61" s="54"/>
    </row>
    <row r="62" spans="1:12" x14ac:dyDescent="0.2">
      <c r="L62" t="s">
        <v>137</v>
      </c>
    </row>
    <row r="63" spans="1:12" x14ac:dyDescent="0.2">
      <c r="A63" t="s">
        <v>264</v>
      </c>
      <c r="L63" t="s">
        <v>137</v>
      </c>
    </row>
    <row r="64" spans="1:12" x14ac:dyDescent="0.2">
      <c r="B64" t="s">
        <v>265</v>
      </c>
      <c r="C64">
        <f>907185</f>
        <v>907185</v>
      </c>
      <c r="D64" t="s">
        <v>262</v>
      </c>
      <c r="L64" t="s">
        <v>137</v>
      </c>
    </row>
    <row r="65" spans="12:12" x14ac:dyDescent="0.2">
      <c r="L65" t="s">
        <v>137</v>
      </c>
    </row>
    <row r="66" spans="12:12" x14ac:dyDescent="0.2">
      <c r="L66" t="s">
        <v>137</v>
      </c>
    </row>
    <row r="67" spans="12:12" x14ac:dyDescent="0.2">
      <c r="L67" t="s">
        <v>137</v>
      </c>
    </row>
    <row r="68" spans="12:12" x14ac:dyDescent="0.2">
      <c r="L68" t="s">
        <v>137</v>
      </c>
    </row>
    <row r="69" spans="12:12" x14ac:dyDescent="0.2">
      <c r="L69" t="s">
        <v>137</v>
      </c>
    </row>
    <row r="70" spans="12:12" x14ac:dyDescent="0.2">
      <c r="L70" t="s">
        <v>137</v>
      </c>
    </row>
    <row r="71" spans="12:12" x14ac:dyDescent="0.2">
      <c r="L71" t="s">
        <v>137</v>
      </c>
    </row>
    <row r="72" spans="12:12" x14ac:dyDescent="0.2">
      <c r="L72" t="s">
        <v>137</v>
      </c>
    </row>
    <row r="73" spans="12:12" x14ac:dyDescent="0.2">
      <c r="L73" t="s">
        <v>137</v>
      </c>
    </row>
    <row r="74" spans="12:12" x14ac:dyDescent="0.2">
      <c r="L74" t="s">
        <v>137</v>
      </c>
    </row>
    <row r="75" spans="12:12" x14ac:dyDescent="0.2">
      <c r="L75" t="s">
        <v>137</v>
      </c>
    </row>
    <row r="76" spans="12:12" x14ac:dyDescent="0.2">
      <c r="L76" t="s">
        <v>137</v>
      </c>
    </row>
    <row r="77" spans="12:12" x14ac:dyDescent="0.2">
      <c r="L77" t="s">
        <v>137</v>
      </c>
    </row>
    <row r="78" spans="12:12" x14ac:dyDescent="0.2">
      <c r="L78" t="s">
        <v>137</v>
      </c>
    </row>
    <row r="79" spans="12:12" x14ac:dyDescent="0.2">
      <c r="L79" t="s">
        <v>137</v>
      </c>
    </row>
    <row r="80" spans="12:12" x14ac:dyDescent="0.2">
      <c r="L80" t="s">
        <v>137</v>
      </c>
    </row>
    <row r="81" spans="12:12" x14ac:dyDescent="0.2">
      <c r="L81" t="s">
        <v>137</v>
      </c>
    </row>
    <row r="82" spans="12:12" x14ac:dyDescent="0.2">
      <c r="L82" t="s">
        <v>137</v>
      </c>
    </row>
    <row r="83" spans="12:12" x14ac:dyDescent="0.2">
      <c r="L83" t="s">
        <v>137</v>
      </c>
    </row>
    <row r="84" spans="12:12" x14ac:dyDescent="0.2">
      <c r="L84" t="s">
        <v>137</v>
      </c>
    </row>
    <row r="85" spans="12:12" x14ac:dyDescent="0.2">
      <c r="L85" t="s">
        <v>137</v>
      </c>
    </row>
    <row r="86" spans="12:12" x14ac:dyDescent="0.2">
      <c r="L86" t="s">
        <v>137</v>
      </c>
    </row>
    <row r="87" spans="12:12" x14ac:dyDescent="0.2">
      <c r="L87" t="s">
        <v>137</v>
      </c>
    </row>
    <row r="88" spans="12:12" x14ac:dyDescent="0.2">
      <c r="L88" t="s">
        <v>137</v>
      </c>
    </row>
    <row r="89" spans="12:12" x14ac:dyDescent="0.2">
      <c r="L89" t="s">
        <v>137</v>
      </c>
    </row>
    <row r="90" spans="12:12" x14ac:dyDescent="0.2">
      <c r="L90" t="s">
        <v>137</v>
      </c>
    </row>
    <row r="91" spans="12:12" x14ac:dyDescent="0.2">
      <c r="L91" t="s">
        <v>137</v>
      </c>
    </row>
    <row r="92" spans="12:12" x14ac:dyDescent="0.2">
      <c r="L92" t="s">
        <v>137</v>
      </c>
    </row>
    <row r="93" spans="12:12" x14ac:dyDescent="0.2">
      <c r="L93" t="s">
        <v>137</v>
      </c>
    </row>
    <row r="94" spans="12:12" x14ac:dyDescent="0.2">
      <c r="L94" t="s">
        <v>137</v>
      </c>
    </row>
    <row r="95" spans="12:12" x14ac:dyDescent="0.2">
      <c r="L95" t="s">
        <v>137</v>
      </c>
    </row>
  </sheetData>
  <hyperlinks>
    <hyperlink ref="M5" r:id="rId1" display="https://atri-online.org/wp-content/uploads/2018/10/ATRI-Operational-Costs-of-Trucking-2018.pdf" xr:uid="{87027DC4-3596-4997-9161-90B8DD68656E}"/>
    <hyperlink ref="L23" r:id="rId2" xr:uid="{6C415CC8-8E2D-40BE-8A4E-C272C2B010AB}"/>
    <hyperlink ref="L29" r:id="rId3" xr:uid="{AE82755A-B188-494A-948C-C966F6F9130A}"/>
    <hyperlink ref="L36" r:id="rId4" xr:uid="{A094B768-055E-437B-AE8E-861CB7BA5269}"/>
    <hyperlink ref="L38" r:id="rId5" xr:uid="{E3C23700-B130-4D19-9C93-1DF5460BF777}"/>
    <hyperlink ref="L47" r:id="rId6" xr:uid="{F1AC915C-1196-453B-B16C-63033735E89B}"/>
    <hyperlink ref="L58" r:id="rId7" xr:uid="{B38A0CB2-7DAD-42FC-A7CF-B184E1E419B1}"/>
    <hyperlink ref="L5" r:id="rId8" display="https://truckingresearch.org/wp-content/uploads/2019/11/ATRI-Operational-Costs-of-Trucking-2019-1.pdf" xr:uid="{3955E948-AB5C-4D56-B624-8157960580E5}"/>
    <hyperlink ref="L18" r:id="rId9" xr:uid="{81A3A293-3AD9-4B4F-91B3-B4A8BC66EE10}"/>
    <hyperlink ref="L19" r:id="rId10" xr:uid="{8B759927-F0F1-42B0-BD7B-FA9DAF274919}"/>
    <hyperlink ref="L20" r:id="rId11" xr:uid="{94EBC42A-0FED-4F6C-A764-400AD29DDB64}"/>
  </hyperlinks>
  <pageMargins left="0.7" right="0.7" top="0.75" bottom="0.75" header="0.3" footer="0.3"/>
  <pageSetup orientation="portrait"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1501-285E-4DB9-A905-3E3E6A770652}">
  <dimension ref="A1:BA98"/>
  <sheetViews>
    <sheetView workbookViewId="0"/>
  </sheetViews>
  <sheetFormatPr baseColWidth="10" defaultColWidth="8.83203125" defaultRowHeight="15" x14ac:dyDescent="0.2"/>
  <cols>
    <col min="3" max="3" width="19.5" bestFit="1" customWidth="1"/>
    <col min="4" max="4" width="9.83203125" customWidth="1"/>
    <col min="5" max="16" width="10.5" bestFit="1" customWidth="1"/>
    <col min="17" max="19" width="10.6640625" bestFit="1" customWidth="1"/>
    <col min="20" max="20" width="13.33203125" bestFit="1" customWidth="1"/>
    <col min="21" max="21" width="10.5" bestFit="1" customWidth="1"/>
    <col min="22" max="22" width="13.33203125" bestFit="1" customWidth="1"/>
    <col min="23" max="29" width="9.5" bestFit="1" customWidth="1"/>
    <col min="30" max="43" width="10.1640625" bestFit="1" customWidth="1"/>
  </cols>
  <sheetData>
    <row r="1" spans="1:53" x14ac:dyDescent="0.2">
      <c r="A1" s="64" t="s">
        <v>399</v>
      </c>
      <c r="T1" s="19"/>
      <c r="U1" s="19"/>
      <c r="V1" s="19"/>
      <c r="W1" s="19"/>
    </row>
    <row r="2" spans="1:53" ht="16" thickBot="1" x14ac:dyDescent="0.25">
      <c r="A2" t="s">
        <v>29</v>
      </c>
      <c r="D2" t="s">
        <v>6</v>
      </c>
      <c r="E2">
        <v>2002</v>
      </c>
      <c r="F2">
        <f>E2+1</f>
        <v>2003</v>
      </c>
      <c r="G2">
        <f t="shared" ref="G2:BA2" si="0">F2+1</f>
        <v>2004</v>
      </c>
      <c r="H2">
        <f t="shared" si="0"/>
        <v>2005</v>
      </c>
      <c r="I2">
        <f t="shared" si="0"/>
        <v>2006</v>
      </c>
      <c r="J2">
        <f t="shared" si="0"/>
        <v>2007</v>
      </c>
      <c r="K2">
        <f t="shared" si="0"/>
        <v>2008</v>
      </c>
      <c r="L2">
        <f t="shared" si="0"/>
        <v>2009</v>
      </c>
      <c r="M2">
        <f t="shared" si="0"/>
        <v>2010</v>
      </c>
      <c r="N2">
        <f t="shared" si="0"/>
        <v>2011</v>
      </c>
      <c r="O2">
        <f t="shared" si="0"/>
        <v>2012</v>
      </c>
      <c r="P2">
        <f t="shared" si="0"/>
        <v>2013</v>
      </c>
      <c r="Q2">
        <f t="shared" si="0"/>
        <v>2014</v>
      </c>
      <c r="R2">
        <f t="shared" si="0"/>
        <v>2015</v>
      </c>
      <c r="S2">
        <f t="shared" si="0"/>
        <v>2016</v>
      </c>
      <c r="T2" s="19">
        <f t="shared" si="0"/>
        <v>2017</v>
      </c>
      <c r="U2" s="19">
        <f t="shared" si="0"/>
        <v>2018</v>
      </c>
      <c r="V2" s="19">
        <f t="shared" si="0"/>
        <v>2019</v>
      </c>
      <c r="W2" s="19">
        <f t="shared" si="0"/>
        <v>2020</v>
      </c>
      <c r="X2">
        <f t="shared" si="0"/>
        <v>2021</v>
      </c>
      <c r="Y2">
        <f t="shared" si="0"/>
        <v>2022</v>
      </c>
      <c r="Z2">
        <f t="shared" si="0"/>
        <v>2023</v>
      </c>
      <c r="AA2">
        <f t="shared" si="0"/>
        <v>2024</v>
      </c>
      <c r="AB2">
        <f t="shared" si="0"/>
        <v>2025</v>
      </c>
      <c r="AC2">
        <f t="shared" si="0"/>
        <v>2026</v>
      </c>
      <c r="AD2">
        <f t="shared" si="0"/>
        <v>2027</v>
      </c>
      <c r="AE2">
        <f t="shared" si="0"/>
        <v>2028</v>
      </c>
      <c r="AF2">
        <f t="shared" si="0"/>
        <v>2029</v>
      </c>
      <c r="AG2">
        <f t="shared" si="0"/>
        <v>2030</v>
      </c>
      <c r="AH2">
        <f t="shared" si="0"/>
        <v>2031</v>
      </c>
      <c r="AI2">
        <f t="shared" si="0"/>
        <v>2032</v>
      </c>
      <c r="AJ2">
        <f t="shared" si="0"/>
        <v>2033</v>
      </c>
      <c r="AK2">
        <f t="shared" si="0"/>
        <v>2034</v>
      </c>
      <c r="AL2">
        <f t="shared" si="0"/>
        <v>2035</v>
      </c>
      <c r="AM2">
        <f t="shared" si="0"/>
        <v>2036</v>
      </c>
      <c r="AN2">
        <f t="shared" si="0"/>
        <v>2037</v>
      </c>
      <c r="AO2">
        <f t="shared" si="0"/>
        <v>2038</v>
      </c>
      <c r="AP2">
        <f t="shared" si="0"/>
        <v>2039</v>
      </c>
      <c r="AQ2">
        <f t="shared" si="0"/>
        <v>2040</v>
      </c>
      <c r="AR2">
        <f t="shared" si="0"/>
        <v>2041</v>
      </c>
      <c r="AS2">
        <f t="shared" si="0"/>
        <v>2042</v>
      </c>
      <c r="AT2">
        <f t="shared" si="0"/>
        <v>2043</v>
      </c>
      <c r="AU2">
        <f t="shared" si="0"/>
        <v>2044</v>
      </c>
      <c r="AV2">
        <f t="shared" si="0"/>
        <v>2045</v>
      </c>
      <c r="AW2">
        <f t="shared" si="0"/>
        <v>2046</v>
      </c>
      <c r="AX2">
        <f t="shared" si="0"/>
        <v>2047</v>
      </c>
      <c r="AY2">
        <f t="shared" si="0"/>
        <v>2048</v>
      </c>
      <c r="AZ2">
        <f t="shared" si="0"/>
        <v>2049</v>
      </c>
      <c r="BA2">
        <f t="shared" si="0"/>
        <v>2050</v>
      </c>
    </row>
    <row r="3" spans="1:53" x14ac:dyDescent="0.2">
      <c r="B3" s="8" t="s">
        <v>10</v>
      </c>
      <c r="C3" s="8" t="s">
        <v>11</v>
      </c>
      <c r="D3" s="8"/>
      <c r="E3" s="9">
        <v>991037</v>
      </c>
      <c r="F3" s="9">
        <v>1098318</v>
      </c>
      <c r="G3" s="9">
        <v>1301246</v>
      </c>
      <c r="H3" s="9">
        <v>1591634</v>
      </c>
      <c r="I3" s="9">
        <v>1545455</v>
      </c>
      <c r="J3" s="9">
        <v>1504485</v>
      </c>
      <c r="K3" s="9">
        <v>1313425</v>
      </c>
      <c r="L3" s="9">
        <v>1084767</v>
      </c>
      <c r="M3" s="9">
        <v>1373976</v>
      </c>
      <c r="N3" s="9">
        <v>1248791.96</v>
      </c>
      <c r="O3" s="9">
        <v>1339642</v>
      </c>
      <c r="P3" s="9">
        <v>1238894</v>
      </c>
      <c r="Q3" s="9">
        <v>1217374</v>
      </c>
      <c r="R3" s="9">
        <v>1308214</v>
      </c>
      <c r="S3" s="10">
        <v>1382768.4778127032</v>
      </c>
      <c r="T3" s="19"/>
      <c r="U3" s="19"/>
      <c r="V3" s="19"/>
      <c r="W3" s="19"/>
    </row>
    <row r="4" spans="1:53" x14ac:dyDescent="0.2">
      <c r="C4" t="s">
        <v>12</v>
      </c>
      <c r="E4" s="11">
        <v>637513</v>
      </c>
      <c r="F4" s="11">
        <v>694387</v>
      </c>
      <c r="G4" s="11">
        <v>732612</v>
      </c>
      <c r="H4" s="11">
        <v>850748</v>
      </c>
      <c r="I4" s="11">
        <v>807046</v>
      </c>
      <c r="J4" s="11">
        <v>949563</v>
      </c>
      <c r="K4" s="11">
        <v>918208</v>
      </c>
      <c r="L4" s="11">
        <v>880348</v>
      </c>
      <c r="M4" s="11">
        <v>895773</v>
      </c>
      <c r="N4" s="11">
        <v>988193.96000000008</v>
      </c>
      <c r="O4" s="11">
        <v>983050</v>
      </c>
      <c r="P4" s="11">
        <v>983870</v>
      </c>
      <c r="Q4" s="11">
        <v>907867</v>
      </c>
      <c r="R4" s="11">
        <v>871523</v>
      </c>
      <c r="S4" s="10">
        <v>978034.52218729688</v>
      </c>
      <c r="T4" s="19"/>
      <c r="U4" s="19"/>
      <c r="V4" s="19"/>
      <c r="W4" s="19"/>
    </row>
    <row r="5" spans="1:53" x14ac:dyDescent="0.2">
      <c r="C5" t="s">
        <v>14</v>
      </c>
      <c r="E5" s="11">
        <v>1628550</v>
      </c>
      <c r="F5" s="11">
        <v>1792705</v>
      </c>
      <c r="G5" s="11">
        <v>2033858</v>
      </c>
      <c r="H5" s="11">
        <v>2442382</v>
      </c>
      <c r="I5" s="11">
        <v>2352501</v>
      </c>
      <c r="J5" s="11">
        <v>2454048</v>
      </c>
      <c r="K5" s="11">
        <v>2231633</v>
      </c>
      <c r="L5" s="11">
        <v>1965115</v>
      </c>
      <c r="M5" s="11">
        <v>2269749</v>
      </c>
      <c r="N5" s="11">
        <v>2236985.92</v>
      </c>
      <c r="O5" s="11">
        <v>2322692</v>
      </c>
      <c r="P5" s="11">
        <v>2222764</v>
      </c>
      <c r="Q5" s="11">
        <v>2125241</v>
      </c>
      <c r="R5" s="11">
        <v>2179737</v>
      </c>
      <c r="S5" s="11">
        <v>2360803</v>
      </c>
      <c r="T5" s="81">
        <v>2295205</v>
      </c>
      <c r="U5" s="81">
        <v>2392903</v>
      </c>
      <c r="V5" s="81">
        <v>2296035</v>
      </c>
      <c r="W5" s="19"/>
    </row>
    <row r="6" spans="1:53" x14ac:dyDescent="0.2">
      <c r="C6" t="s">
        <v>13</v>
      </c>
      <c r="E6" s="11">
        <v>539772</v>
      </c>
      <c r="F6" s="11">
        <v>642843</v>
      </c>
      <c r="G6" s="11">
        <v>721781</v>
      </c>
      <c r="H6" s="11">
        <v>855093</v>
      </c>
      <c r="I6" s="11">
        <v>836038</v>
      </c>
      <c r="J6" s="11">
        <v>577330</v>
      </c>
      <c r="K6" s="11">
        <v>492574</v>
      </c>
      <c r="L6" s="11">
        <v>395068</v>
      </c>
      <c r="M6" s="11">
        <v>542535</v>
      </c>
      <c r="N6" s="11">
        <v>497644.03999999986</v>
      </c>
      <c r="O6" s="11">
        <v>481305.00000000006</v>
      </c>
      <c r="P6" s="11">
        <v>412542</v>
      </c>
      <c r="Q6" s="11">
        <v>431596.25</v>
      </c>
      <c r="R6" s="11">
        <v>581074</v>
      </c>
      <c r="S6" s="10">
        <v>482951</v>
      </c>
      <c r="T6" s="19"/>
      <c r="U6" s="19"/>
      <c r="V6" s="19"/>
      <c r="W6" s="19"/>
    </row>
    <row r="7" spans="1:53" x14ac:dyDescent="0.2">
      <c r="C7" t="s">
        <v>15</v>
      </c>
      <c r="E7" s="12">
        <f>SUM(E5:E6)</f>
        <v>2168322</v>
      </c>
      <c r="F7" s="12">
        <f t="shared" ref="F7:S7" si="1">SUM(F5:F6)</f>
        <v>2435548</v>
      </c>
      <c r="G7" s="12">
        <f t="shared" si="1"/>
        <v>2755639</v>
      </c>
      <c r="H7" s="12">
        <f t="shared" si="1"/>
        <v>3297475</v>
      </c>
      <c r="I7" s="12">
        <f t="shared" si="1"/>
        <v>3188539</v>
      </c>
      <c r="J7" s="12">
        <f t="shared" si="1"/>
        <v>3031378</v>
      </c>
      <c r="K7" s="12">
        <f t="shared" si="1"/>
        <v>2724207</v>
      </c>
      <c r="L7" s="12">
        <f t="shared" si="1"/>
        <v>2360183</v>
      </c>
      <c r="M7" s="12">
        <f t="shared" si="1"/>
        <v>2812284</v>
      </c>
      <c r="N7" s="12">
        <f t="shared" si="1"/>
        <v>2734629.96</v>
      </c>
      <c r="O7" s="12">
        <f t="shared" si="1"/>
        <v>2803997</v>
      </c>
      <c r="P7" s="12">
        <f t="shared" si="1"/>
        <v>2635306</v>
      </c>
      <c r="Q7" s="12">
        <f t="shared" si="1"/>
        <v>2556837.25</v>
      </c>
      <c r="R7" s="12">
        <f t="shared" si="1"/>
        <v>2760811</v>
      </c>
      <c r="S7" s="12">
        <f t="shared" si="1"/>
        <v>2843754</v>
      </c>
      <c r="T7" s="19"/>
      <c r="U7" s="19"/>
      <c r="V7" s="19"/>
      <c r="W7" s="19"/>
    </row>
    <row r="8" spans="1:53" x14ac:dyDescent="0.2">
      <c r="T8" s="19"/>
      <c r="U8" s="19"/>
      <c r="V8" s="19"/>
      <c r="W8" s="19"/>
    </row>
    <row r="9" spans="1:53" x14ac:dyDescent="0.2">
      <c r="C9" t="s">
        <v>16</v>
      </c>
      <c r="E9" s="13">
        <f>E3/E$7</f>
        <v>0.45705250419448773</v>
      </c>
      <c r="F9" s="13">
        <f t="shared" ref="F9:S9" si="2">F3/F$7</f>
        <v>0.45095313251884178</v>
      </c>
      <c r="G9" s="13">
        <f t="shared" si="2"/>
        <v>0.47221207131993703</v>
      </c>
      <c r="H9" s="13">
        <f t="shared" si="2"/>
        <v>0.48268265870097576</v>
      </c>
      <c r="I9" s="13">
        <f t="shared" si="2"/>
        <v>0.48469063731069306</v>
      </c>
      <c r="J9" s="13">
        <f t="shared" si="2"/>
        <v>0.49630399112218931</v>
      </c>
      <c r="K9" s="13">
        <f t="shared" si="2"/>
        <v>0.48213113027020338</v>
      </c>
      <c r="L9" s="13">
        <f t="shared" si="2"/>
        <v>0.45961139454016914</v>
      </c>
      <c r="M9" s="13">
        <f t="shared" si="2"/>
        <v>0.48856232158629781</v>
      </c>
      <c r="N9" s="13">
        <f t="shared" si="2"/>
        <v>0.45665847967232831</v>
      </c>
      <c r="O9" s="13">
        <f t="shared" si="2"/>
        <v>0.4777615667919759</v>
      </c>
      <c r="P9" s="13">
        <f t="shared" si="2"/>
        <v>0.47011390707568684</v>
      </c>
      <c r="Q9" s="13">
        <f t="shared" si="2"/>
        <v>0.47612494694372903</v>
      </c>
      <c r="R9" s="13">
        <f t="shared" si="2"/>
        <v>0.47385134295683407</v>
      </c>
      <c r="S9" s="13">
        <f t="shared" si="2"/>
        <v>0.4862475719815087</v>
      </c>
      <c r="T9" s="83"/>
      <c r="U9" s="83"/>
      <c r="V9" s="83"/>
      <c r="W9" s="19"/>
    </row>
    <row r="10" spans="1:53" x14ac:dyDescent="0.2">
      <c r="C10" t="s">
        <v>17</v>
      </c>
      <c r="E10" s="13">
        <f>E4/E$7</f>
        <v>0.2940121439527893</v>
      </c>
      <c r="F10" s="13">
        <f t="shared" ref="F10:S10" si="3">F4/F$7</f>
        <v>0.28510503590978292</v>
      </c>
      <c r="G10" s="13">
        <f t="shared" si="3"/>
        <v>0.26585920724739343</v>
      </c>
      <c r="H10" s="13">
        <f t="shared" si="3"/>
        <v>0.2579998332057104</v>
      </c>
      <c r="I10" s="13">
        <f t="shared" si="3"/>
        <v>0.253108398548677</v>
      </c>
      <c r="J10" s="13">
        <f t="shared" si="3"/>
        <v>0.31324466958591107</v>
      </c>
      <c r="K10" s="13">
        <f t="shared" si="3"/>
        <v>0.33705515036118766</v>
      </c>
      <c r="L10" s="13">
        <f t="shared" si="3"/>
        <v>0.3729998902627466</v>
      </c>
      <c r="M10" s="13">
        <f t="shared" si="3"/>
        <v>0.31852152912010306</v>
      </c>
      <c r="N10" s="13">
        <f t="shared" si="3"/>
        <v>0.3613629538381859</v>
      </c>
      <c r="O10" s="13">
        <f t="shared" si="3"/>
        <v>0.35058882017348808</v>
      </c>
      <c r="P10" s="13">
        <f t="shared" si="3"/>
        <v>0.37334184341400961</v>
      </c>
      <c r="Q10" s="13">
        <f t="shared" si="3"/>
        <v>0.35507422304646102</v>
      </c>
      <c r="R10" s="13">
        <f t="shared" si="3"/>
        <v>0.31567644434914233</v>
      </c>
      <c r="S10" s="13">
        <f t="shared" si="3"/>
        <v>0.34392374382147572</v>
      </c>
      <c r="T10" s="83"/>
      <c r="U10" s="83"/>
      <c r="V10" s="83"/>
      <c r="W10" s="19"/>
    </row>
    <row r="11" spans="1:53" x14ac:dyDescent="0.2">
      <c r="C11" t="s">
        <v>18</v>
      </c>
      <c r="E11" s="13">
        <f>E6/E7</f>
        <v>0.24893535185272297</v>
      </c>
      <c r="F11" s="13">
        <f t="shared" ref="F11:S11" si="4">F6/F7</f>
        <v>0.2639418315713753</v>
      </c>
      <c r="G11" s="13">
        <f t="shared" si="4"/>
        <v>0.26192872143266954</v>
      </c>
      <c r="H11" s="13">
        <f t="shared" si="4"/>
        <v>0.25931750809331383</v>
      </c>
      <c r="I11" s="13">
        <f t="shared" si="4"/>
        <v>0.26220096414062993</v>
      </c>
      <c r="J11" s="13">
        <f t="shared" si="4"/>
        <v>0.19045133929189959</v>
      </c>
      <c r="K11" s="13">
        <f t="shared" si="4"/>
        <v>0.18081371936860893</v>
      </c>
      <c r="L11" s="13">
        <f t="shared" si="4"/>
        <v>0.16738871519708429</v>
      </c>
      <c r="M11" s="13">
        <f t="shared" si="4"/>
        <v>0.19291614929359907</v>
      </c>
      <c r="N11" s="13">
        <f t="shared" si="4"/>
        <v>0.18197856648948579</v>
      </c>
      <c r="O11" s="13">
        <f t="shared" si="4"/>
        <v>0.17164961303453607</v>
      </c>
      <c r="P11" s="13">
        <f t="shared" si="4"/>
        <v>0.15654424951030355</v>
      </c>
      <c r="Q11" s="13">
        <f t="shared" si="4"/>
        <v>0.16880083000980997</v>
      </c>
      <c r="R11" s="13">
        <f t="shared" si="4"/>
        <v>0.21047221269402361</v>
      </c>
      <c r="S11" s="13">
        <f t="shared" si="4"/>
        <v>0.16982868419701563</v>
      </c>
      <c r="T11" s="83"/>
      <c r="U11" s="83"/>
      <c r="V11" s="83"/>
      <c r="W11" s="19"/>
    </row>
    <row r="12" spans="1:53" x14ac:dyDescent="0.2">
      <c r="C12" s="16" t="s">
        <v>19</v>
      </c>
      <c r="D12" s="16"/>
      <c r="E12" s="15">
        <f>SUM(E9:E11)</f>
        <v>1</v>
      </c>
      <c r="F12" s="15">
        <f t="shared" ref="F12:S12" si="5">SUM(F9:F11)</f>
        <v>1</v>
      </c>
      <c r="G12" s="15">
        <f t="shared" si="5"/>
        <v>1</v>
      </c>
      <c r="H12" s="15">
        <f t="shared" si="5"/>
        <v>1</v>
      </c>
      <c r="I12" s="15">
        <f t="shared" si="5"/>
        <v>1</v>
      </c>
      <c r="J12" s="15">
        <f t="shared" si="5"/>
        <v>1</v>
      </c>
      <c r="K12" s="15">
        <f t="shared" si="5"/>
        <v>0.99999999999999989</v>
      </c>
      <c r="L12" s="15">
        <f t="shared" si="5"/>
        <v>1</v>
      </c>
      <c r="M12" s="15">
        <f t="shared" si="5"/>
        <v>1</v>
      </c>
      <c r="N12" s="15">
        <f t="shared" si="5"/>
        <v>1</v>
      </c>
      <c r="O12" s="15">
        <f t="shared" si="5"/>
        <v>1</v>
      </c>
      <c r="P12" s="15">
        <f t="shared" si="5"/>
        <v>1</v>
      </c>
      <c r="Q12" s="15">
        <f t="shared" si="5"/>
        <v>1</v>
      </c>
      <c r="R12" s="15">
        <f t="shared" si="5"/>
        <v>1</v>
      </c>
      <c r="S12" s="15">
        <f t="shared" si="5"/>
        <v>1</v>
      </c>
      <c r="T12" s="84"/>
      <c r="U12" s="84"/>
      <c r="V12" s="84"/>
      <c r="W12" s="19"/>
    </row>
    <row r="13" spans="1:53" x14ac:dyDescent="0.2">
      <c r="T13" s="19"/>
      <c r="U13" s="19"/>
      <c r="V13" s="19"/>
      <c r="W13" s="19"/>
    </row>
    <row r="15" spans="1:53" x14ac:dyDescent="0.2">
      <c r="B15" t="s">
        <v>20</v>
      </c>
    </row>
    <row r="16" spans="1:53" x14ac:dyDescent="0.2">
      <c r="C16" t="s">
        <v>20</v>
      </c>
    </row>
    <row r="17" spans="3:43" x14ac:dyDescent="0.2">
      <c r="C17" t="s">
        <v>21</v>
      </c>
      <c r="D17" t="s">
        <v>23</v>
      </c>
      <c r="Q17" s="11">
        <v>688.6</v>
      </c>
      <c r="R17" s="11">
        <v>723.3</v>
      </c>
      <c r="S17" s="11">
        <v>752.2</v>
      </c>
      <c r="T17" s="11">
        <v>780.4</v>
      </c>
      <c r="U17" s="11">
        <v>811.4</v>
      </c>
      <c r="V17" s="11">
        <v>829.7</v>
      </c>
      <c r="W17" s="81">
        <v>860.4</v>
      </c>
      <c r="X17" s="11">
        <v>890.5</v>
      </c>
      <c r="Y17" s="11">
        <v>921.1</v>
      </c>
      <c r="Z17" s="11">
        <v>951.1</v>
      </c>
      <c r="AA17" s="11">
        <v>981.8</v>
      </c>
      <c r="AB17" s="11">
        <v>1013.1</v>
      </c>
      <c r="AC17" s="11">
        <v>1045</v>
      </c>
    </row>
    <row r="18" spans="3:43" x14ac:dyDescent="0.2">
      <c r="C18" t="s">
        <v>22</v>
      </c>
      <c r="D18" t="s">
        <v>23</v>
      </c>
      <c r="Q18" s="11">
        <v>528.79999999999995</v>
      </c>
      <c r="R18" s="11">
        <v>554.29999999999995</v>
      </c>
      <c r="S18" s="11">
        <v>574.4</v>
      </c>
      <c r="T18" s="11">
        <v>560.29999999999995</v>
      </c>
      <c r="U18" s="11">
        <v>544.29999999999995</v>
      </c>
      <c r="V18" s="11">
        <v>559.9</v>
      </c>
      <c r="W18" s="81">
        <v>575.5</v>
      </c>
      <c r="X18" s="11">
        <v>594.6</v>
      </c>
      <c r="Y18" s="11">
        <v>614</v>
      </c>
      <c r="Z18" s="11">
        <v>633</v>
      </c>
      <c r="AA18" s="11">
        <v>652.4</v>
      </c>
      <c r="AB18" s="11">
        <v>672.1</v>
      </c>
      <c r="AC18" s="11">
        <v>692.3</v>
      </c>
    </row>
    <row r="19" spans="3:43" x14ac:dyDescent="0.2">
      <c r="C19" t="s">
        <v>12</v>
      </c>
      <c r="D19" t="s">
        <v>23</v>
      </c>
      <c r="Q19" s="11">
        <v>907.9</v>
      </c>
      <c r="R19" s="11">
        <v>949.1</v>
      </c>
      <c r="S19" s="11">
        <v>983.2</v>
      </c>
      <c r="T19" s="11">
        <v>984.4</v>
      </c>
      <c r="U19" s="11">
        <v>986.3</v>
      </c>
      <c r="V19" s="11">
        <v>1006.3</v>
      </c>
      <c r="W19" s="81">
        <v>1039.8</v>
      </c>
      <c r="X19" s="11">
        <v>1072.5</v>
      </c>
      <c r="Y19" s="11">
        <v>1105.8</v>
      </c>
      <c r="Z19" s="11">
        <v>1138.2</v>
      </c>
      <c r="AA19" s="11">
        <v>1171.3</v>
      </c>
      <c r="AB19" s="11">
        <v>1204.8</v>
      </c>
      <c r="AC19" s="11">
        <v>1239</v>
      </c>
    </row>
    <row r="20" spans="3:43" x14ac:dyDescent="0.2">
      <c r="C20" t="s">
        <v>13</v>
      </c>
      <c r="D20" t="s">
        <v>23</v>
      </c>
      <c r="Q20" s="11">
        <v>431.6</v>
      </c>
      <c r="R20" s="11">
        <v>456.9</v>
      </c>
      <c r="S20" s="11">
        <v>478</v>
      </c>
      <c r="T20" s="11">
        <v>498.7</v>
      </c>
      <c r="U20" s="11">
        <v>521.20000000000005</v>
      </c>
      <c r="V20" s="11">
        <v>534.5</v>
      </c>
      <c r="W20" s="81">
        <v>557.1</v>
      </c>
      <c r="X20" s="11">
        <v>579.29999999999995</v>
      </c>
      <c r="Y20" s="11">
        <v>602</v>
      </c>
      <c r="Z20" s="11">
        <v>624.4</v>
      </c>
      <c r="AA20" s="11">
        <v>647.20000000000005</v>
      </c>
      <c r="AB20" s="11">
        <v>670.6</v>
      </c>
      <c r="AC20" s="11">
        <v>694.6</v>
      </c>
    </row>
    <row r="21" spans="3:43" s="16" customFormat="1" x14ac:dyDescent="0.2">
      <c r="C21" s="16" t="s">
        <v>19</v>
      </c>
      <c r="D21" s="16" t="s">
        <v>23</v>
      </c>
      <c r="E21" s="21">
        <v>2168.3220000000001</v>
      </c>
      <c r="F21" s="21">
        <v>2435.5479999999998</v>
      </c>
      <c r="G21" s="21">
        <v>2755.6390000000001</v>
      </c>
      <c r="H21" s="21">
        <v>3297.4749999999999</v>
      </c>
      <c r="I21" s="21">
        <v>3188.5390000000002</v>
      </c>
      <c r="J21" s="21">
        <v>3031.3780000000002</v>
      </c>
      <c r="K21" s="21">
        <v>2724.2069999999999</v>
      </c>
      <c r="L21" s="21">
        <v>2360.183</v>
      </c>
      <c r="M21" s="21">
        <v>2812.2840000000001</v>
      </c>
      <c r="N21" s="21">
        <v>2734.6299599999998</v>
      </c>
      <c r="O21" s="21">
        <v>2803.9969999999998</v>
      </c>
      <c r="P21" s="21">
        <v>2635.306</v>
      </c>
      <c r="Q21" s="17">
        <f>SUM(Q17:Q20)</f>
        <v>2556.9</v>
      </c>
      <c r="R21" s="17">
        <f t="shared" ref="R21:AC21" si="6">SUM(R17:R20)</f>
        <v>2683.6</v>
      </c>
      <c r="S21" s="17">
        <f t="shared" si="6"/>
        <v>2787.8</v>
      </c>
      <c r="T21" s="17">
        <f t="shared" si="6"/>
        <v>2823.7999999999997</v>
      </c>
      <c r="U21" s="17">
        <f t="shared" si="6"/>
        <v>2863.2</v>
      </c>
      <c r="V21" s="17">
        <f t="shared" si="6"/>
        <v>2930.3999999999996</v>
      </c>
      <c r="W21" s="82">
        <f t="shared" si="6"/>
        <v>3032.7999999999997</v>
      </c>
      <c r="X21" s="17">
        <f t="shared" si="6"/>
        <v>3136.8999999999996</v>
      </c>
      <c r="Y21" s="17">
        <f t="shared" si="6"/>
        <v>3242.8999999999996</v>
      </c>
      <c r="Z21" s="17">
        <f t="shared" si="6"/>
        <v>3346.7000000000003</v>
      </c>
      <c r="AA21" s="17">
        <f t="shared" si="6"/>
        <v>3452.7</v>
      </c>
      <c r="AB21" s="17">
        <f t="shared" si="6"/>
        <v>3560.6</v>
      </c>
      <c r="AC21" s="17">
        <f t="shared" si="6"/>
        <v>3670.9</v>
      </c>
      <c r="AD21" s="21">
        <v>3670.9</v>
      </c>
      <c r="AE21" s="21">
        <v>3670.9</v>
      </c>
      <c r="AF21" s="21">
        <v>3670.9</v>
      </c>
      <c r="AG21" s="21">
        <v>3670.9</v>
      </c>
      <c r="AH21" s="21">
        <v>3670.9</v>
      </c>
      <c r="AI21" s="21">
        <v>3670.9</v>
      </c>
      <c r="AJ21" s="21">
        <v>3670.9</v>
      </c>
      <c r="AK21" s="21">
        <v>3670.9</v>
      </c>
      <c r="AL21" s="21">
        <v>3670.9</v>
      </c>
      <c r="AM21" s="21">
        <v>3670.9</v>
      </c>
      <c r="AN21" s="21">
        <v>3670.9</v>
      </c>
      <c r="AO21" s="21">
        <v>3670.9</v>
      </c>
      <c r="AP21" s="21">
        <v>3670.9</v>
      </c>
      <c r="AQ21" s="21">
        <v>3670.9</v>
      </c>
    </row>
    <row r="22" spans="3:43" x14ac:dyDescent="0.2">
      <c r="C22" s="16" t="s">
        <v>24</v>
      </c>
    </row>
    <row r="23" spans="3:43" x14ac:dyDescent="0.2">
      <c r="C23" t="s">
        <v>25</v>
      </c>
      <c r="D23" t="s">
        <v>28</v>
      </c>
      <c r="Q23" s="13">
        <f>SUM(Q17:Q18)/Q21</f>
        <v>0.47612343071688373</v>
      </c>
      <c r="R23" s="13">
        <f t="shared" ref="R23:AC23" si="7">SUM(R17:R18)/R21</f>
        <v>0.47607691161126842</v>
      </c>
      <c r="S23" s="13">
        <f t="shared" si="7"/>
        <v>0.47585910036587986</v>
      </c>
      <c r="T23" s="13">
        <f t="shared" si="7"/>
        <v>0.47478574969898718</v>
      </c>
      <c r="U23" s="13">
        <f t="shared" si="7"/>
        <v>0.4734911986588432</v>
      </c>
      <c r="V23" s="13">
        <f t="shared" si="7"/>
        <v>0.47420147420147424</v>
      </c>
      <c r="W23" s="13">
        <f t="shared" si="7"/>
        <v>0.47345687153785287</v>
      </c>
      <c r="X23" s="13">
        <f t="shared" si="7"/>
        <v>0.47342918167617715</v>
      </c>
      <c r="Y23" s="13">
        <f t="shared" si="7"/>
        <v>0.47337259860001851</v>
      </c>
      <c r="Z23" s="13">
        <f t="shared" si="7"/>
        <v>0.47333193892491104</v>
      </c>
      <c r="AA23" s="13">
        <f t="shared" si="7"/>
        <v>0.4733107423176065</v>
      </c>
      <c r="AB23" s="13">
        <f t="shared" si="7"/>
        <v>0.47329101836769089</v>
      </c>
      <c r="AC23" s="13">
        <f t="shared" si="7"/>
        <v>0.4732626876242883</v>
      </c>
    </row>
    <row r="24" spans="3:43" x14ac:dyDescent="0.2">
      <c r="C24" t="s">
        <v>26</v>
      </c>
      <c r="D24" t="s">
        <v>28</v>
      </c>
      <c r="Q24" s="13">
        <f>Q19/Q21</f>
        <v>0.35507841526848916</v>
      </c>
      <c r="R24" s="13">
        <f t="shared" ref="R24:AC24" si="8">R19/R21</f>
        <v>0.35366671635117009</v>
      </c>
      <c r="S24" s="13">
        <f t="shared" si="8"/>
        <v>0.35267953224765047</v>
      </c>
      <c r="T24" s="13">
        <f t="shared" si="8"/>
        <v>0.34860825837523907</v>
      </c>
      <c r="U24" s="13">
        <f t="shared" si="8"/>
        <v>0.34447471360715282</v>
      </c>
      <c r="V24" s="13">
        <f t="shared" si="8"/>
        <v>0.34340021840021845</v>
      </c>
      <c r="W24" s="13">
        <f t="shared" si="8"/>
        <v>0.34285149037193352</v>
      </c>
      <c r="X24" s="13">
        <f t="shared" si="8"/>
        <v>0.34189805221715708</v>
      </c>
      <c r="Y24" s="13">
        <f t="shared" si="8"/>
        <v>0.34099108822350366</v>
      </c>
      <c r="Z24" s="13">
        <f t="shared" si="8"/>
        <v>0.34009621418113362</v>
      </c>
      <c r="AA24" s="13">
        <f t="shared" si="8"/>
        <v>0.33924175283111768</v>
      </c>
      <c r="AB24" s="13">
        <f t="shared" si="8"/>
        <v>0.33836993765095769</v>
      </c>
      <c r="AC24" s="13">
        <f t="shared" si="8"/>
        <v>0.33751940940913672</v>
      </c>
    </row>
    <row r="25" spans="3:43" x14ac:dyDescent="0.2">
      <c r="C25" t="s">
        <v>27</v>
      </c>
      <c r="D25" t="s">
        <v>28</v>
      </c>
      <c r="Q25" s="13">
        <f>Q20/Q21</f>
        <v>0.16879815401462708</v>
      </c>
      <c r="R25" s="13">
        <f t="shared" ref="R25:AC25" si="9">R20/R21</f>
        <v>0.17025637203756147</v>
      </c>
      <c r="S25" s="13">
        <f t="shared" si="9"/>
        <v>0.17146136738646961</v>
      </c>
      <c r="T25" s="13">
        <f t="shared" si="9"/>
        <v>0.17660599192577378</v>
      </c>
      <c r="U25" s="13">
        <f t="shared" si="9"/>
        <v>0.18203408773400395</v>
      </c>
      <c r="V25" s="13">
        <f t="shared" si="9"/>
        <v>0.18239830739830742</v>
      </c>
      <c r="W25" s="13">
        <f t="shared" si="9"/>
        <v>0.18369163809021369</v>
      </c>
      <c r="X25" s="13">
        <f t="shared" si="9"/>
        <v>0.18467276610666583</v>
      </c>
      <c r="Y25" s="13">
        <f t="shared" si="9"/>
        <v>0.18563631317647786</v>
      </c>
      <c r="Z25" s="13">
        <f t="shared" si="9"/>
        <v>0.18657184689395523</v>
      </c>
      <c r="AA25" s="13">
        <f t="shared" si="9"/>
        <v>0.18744750485127584</v>
      </c>
      <c r="AB25" s="13">
        <f t="shared" si="9"/>
        <v>0.18833904398135146</v>
      </c>
      <c r="AC25" s="13">
        <f t="shared" si="9"/>
        <v>0.18921790296657495</v>
      </c>
    </row>
    <row r="26" spans="3:43" x14ac:dyDescent="0.2">
      <c r="C26" s="16" t="s">
        <v>19</v>
      </c>
      <c r="D26" t="s">
        <v>28</v>
      </c>
      <c r="Q26" s="13">
        <f>SUM(Q23:Q25)</f>
        <v>1</v>
      </c>
      <c r="R26" s="13">
        <f t="shared" ref="R26:AC26" si="10">SUM(R23:R25)</f>
        <v>1</v>
      </c>
      <c r="S26" s="13">
        <f t="shared" si="10"/>
        <v>1</v>
      </c>
      <c r="T26" s="13">
        <f t="shared" si="10"/>
        <v>1</v>
      </c>
      <c r="U26" s="13">
        <f t="shared" si="10"/>
        <v>1</v>
      </c>
      <c r="V26" s="13">
        <f t="shared" si="10"/>
        <v>1</v>
      </c>
      <c r="W26" s="13">
        <f t="shared" si="10"/>
        <v>1</v>
      </c>
      <c r="X26" s="13">
        <f t="shared" si="10"/>
        <v>1</v>
      </c>
      <c r="Y26" s="13">
        <f t="shared" si="10"/>
        <v>1</v>
      </c>
      <c r="Z26" s="13">
        <f t="shared" si="10"/>
        <v>0.99999999999999989</v>
      </c>
      <c r="AA26" s="13">
        <f t="shared" si="10"/>
        <v>1</v>
      </c>
      <c r="AB26" s="13">
        <f t="shared" si="10"/>
        <v>1</v>
      </c>
      <c r="AC26" s="13">
        <f t="shared" si="10"/>
        <v>0.99999999999999989</v>
      </c>
    </row>
    <row r="53" spans="1:17" x14ac:dyDescent="0.2">
      <c r="A53" s="1" t="s">
        <v>30</v>
      </c>
    </row>
    <row r="54" spans="1:17" ht="16" x14ac:dyDescent="0.2">
      <c r="C54" s="20" t="s">
        <v>31</v>
      </c>
      <c r="D54" s="20" t="s">
        <v>32</v>
      </c>
      <c r="E54" s="20" t="s">
        <v>33</v>
      </c>
      <c r="F54" s="20" t="s">
        <v>34</v>
      </c>
      <c r="G54" s="20" t="s">
        <v>35</v>
      </c>
      <c r="H54" s="20" t="s">
        <v>36</v>
      </c>
      <c r="I54" s="20" t="s">
        <v>37</v>
      </c>
      <c r="J54" s="20" t="s">
        <v>38</v>
      </c>
      <c r="K54" s="20" t="s">
        <v>39</v>
      </c>
      <c r="L54" s="20" t="s">
        <v>40</v>
      </c>
      <c r="M54" s="20" t="s">
        <v>6</v>
      </c>
      <c r="Q54" s="6" t="s">
        <v>123</v>
      </c>
    </row>
    <row r="55" spans="1:17" ht="16" x14ac:dyDescent="0.2">
      <c r="C55" s="20" t="s">
        <v>41</v>
      </c>
      <c r="D55" s="19"/>
      <c r="E55" s="19"/>
      <c r="F55" s="19"/>
      <c r="G55" s="19"/>
      <c r="H55" s="19"/>
      <c r="I55" s="19"/>
      <c r="J55" s="19"/>
      <c r="K55" s="19"/>
      <c r="L55" s="19"/>
    </row>
    <row r="56" spans="1:17" ht="16" x14ac:dyDescent="0.2">
      <c r="C56" s="20" t="s">
        <v>42</v>
      </c>
      <c r="D56" s="20" t="s">
        <v>43</v>
      </c>
      <c r="E56" s="20" t="s">
        <v>44</v>
      </c>
      <c r="F56" s="20" t="s">
        <v>45</v>
      </c>
      <c r="G56" s="20" t="s">
        <v>46</v>
      </c>
      <c r="H56" s="20" t="s">
        <v>47</v>
      </c>
      <c r="I56" s="20" t="s">
        <v>48</v>
      </c>
      <c r="J56" s="20" t="s">
        <v>49</v>
      </c>
      <c r="K56" s="20" t="s">
        <v>50</v>
      </c>
      <c r="L56" s="41">
        <v>0.36799999999999999</v>
      </c>
      <c r="M56" s="20" t="s">
        <v>125</v>
      </c>
    </row>
    <row r="57" spans="1:17" ht="16" x14ac:dyDescent="0.2">
      <c r="C57" s="20" t="s">
        <v>51</v>
      </c>
      <c r="D57" s="20" t="s">
        <v>52</v>
      </c>
      <c r="E57" s="20" t="s">
        <v>53</v>
      </c>
      <c r="F57" s="20" t="s">
        <v>54</v>
      </c>
      <c r="G57" s="20" t="s">
        <v>55</v>
      </c>
      <c r="H57" s="20" t="s">
        <v>56</v>
      </c>
      <c r="I57" s="20" t="s">
        <v>57</v>
      </c>
      <c r="J57" s="20" t="s">
        <v>58</v>
      </c>
      <c r="K57" s="20" t="s">
        <v>59</v>
      </c>
      <c r="L57" s="41">
        <v>0.26400000000000001</v>
      </c>
      <c r="M57" s="20" t="s">
        <v>125</v>
      </c>
    </row>
    <row r="58" spans="1:17" ht="16" x14ac:dyDescent="0.2">
      <c r="C58" s="20" t="s">
        <v>60</v>
      </c>
      <c r="D58" s="20" t="s">
        <v>61</v>
      </c>
      <c r="E58" s="20" t="s">
        <v>62</v>
      </c>
      <c r="F58" s="20" t="s">
        <v>63</v>
      </c>
      <c r="G58" s="20" t="s">
        <v>64</v>
      </c>
      <c r="H58" s="20" t="s">
        <v>65</v>
      </c>
      <c r="I58" s="20" t="s">
        <v>66</v>
      </c>
      <c r="J58" s="20" t="s">
        <v>67</v>
      </c>
      <c r="K58" s="20" t="s">
        <v>68</v>
      </c>
      <c r="L58" s="41">
        <v>0.16700000000000001</v>
      </c>
      <c r="M58" s="20" t="s">
        <v>125</v>
      </c>
    </row>
    <row r="59" spans="1:17" ht="16" x14ac:dyDescent="0.2">
      <c r="C59" s="20" t="s">
        <v>69</v>
      </c>
      <c r="D59" s="20" t="s">
        <v>70</v>
      </c>
      <c r="E59" s="20" t="s">
        <v>71</v>
      </c>
      <c r="F59" s="20" t="s">
        <v>72</v>
      </c>
      <c r="G59" s="20" t="s">
        <v>73</v>
      </c>
      <c r="H59" s="20" t="s">
        <v>74</v>
      </c>
      <c r="I59" s="20" t="s">
        <v>75</v>
      </c>
      <c r="J59" s="20" t="s">
        <v>76</v>
      </c>
      <c r="K59" s="20" t="s">
        <v>77</v>
      </c>
      <c r="L59" s="41">
        <v>7.4999999999999997E-2</v>
      </c>
      <c r="M59" s="20" t="s">
        <v>125</v>
      </c>
    </row>
    <row r="60" spans="1:17" ht="16" x14ac:dyDescent="0.2">
      <c r="C60" s="20" t="s">
        <v>78</v>
      </c>
      <c r="D60" s="20" t="s">
        <v>79</v>
      </c>
      <c r="E60" s="20" t="s">
        <v>80</v>
      </c>
      <c r="F60" s="20" t="s">
        <v>81</v>
      </c>
      <c r="G60" s="20" t="s">
        <v>82</v>
      </c>
      <c r="H60" s="20" t="s">
        <v>83</v>
      </c>
      <c r="I60" s="20" t="s">
        <v>84</v>
      </c>
      <c r="J60" s="20" t="s">
        <v>84</v>
      </c>
      <c r="K60" s="20" t="s">
        <v>82</v>
      </c>
      <c r="L60" s="41">
        <v>2.3E-2</v>
      </c>
      <c r="M60" s="20" t="s">
        <v>125</v>
      </c>
    </row>
    <row r="61" spans="1:17" ht="16" x14ac:dyDescent="0.2">
      <c r="C61" s="20" t="s">
        <v>85</v>
      </c>
      <c r="D61" s="20" t="s">
        <v>79</v>
      </c>
      <c r="E61" s="20" t="s">
        <v>86</v>
      </c>
      <c r="F61" s="20" t="s">
        <v>87</v>
      </c>
      <c r="G61" s="20" t="s">
        <v>88</v>
      </c>
      <c r="H61" s="20" t="s">
        <v>89</v>
      </c>
      <c r="I61" s="20" t="s">
        <v>88</v>
      </c>
      <c r="J61" s="20" t="s">
        <v>90</v>
      </c>
      <c r="K61" s="20" t="s">
        <v>86</v>
      </c>
      <c r="L61" s="41">
        <v>3.7999999999999999E-2</v>
      </c>
      <c r="M61" s="20" t="s">
        <v>125</v>
      </c>
    </row>
    <row r="62" spans="1:17" ht="16" x14ac:dyDescent="0.2">
      <c r="C62" s="20" t="s">
        <v>91</v>
      </c>
      <c r="D62" s="20" t="s">
        <v>92</v>
      </c>
      <c r="E62" s="20" t="s">
        <v>93</v>
      </c>
      <c r="F62" s="20" t="s">
        <v>94</v>
      </c>
      <c r="G62" s="20" t="s">
        <v>84</v>
      </c>
      <c r="H62" s="20" t="s">
        <v>84</v>
      </c>
      <c r="I62" s="20" t="s">
        <v>95</v>
      </c>
      <c r="J62" s="20" t="s">
        <v>96</v>
      </c>
      <c r="K62" s="20" t="s">
        <v>92</v>
      </c>
      <c r="L62" s="41">
        <v>2.7E-2</v>
      </c>
      <c r="M62" s="20" t="s">
        <v>125</v>
      </c>
      <c r="N62">
        <f>SUM(L56:L62)</f>
        <v>0.96200000000000008</v>
      </c>
    </row>
    <row r="63" spans="1:17" ht="16" x14ac:dyDescent="0.2">
      <c r="C63" s="20" t="s">
        <v>97</v>
      </c>
      <c r="D63" s="19"/>
      <c r="E63" s="19"/>
      <c r="F63" s="19"/>
      <c r="G63" s="19"/>
      <c r="H63" s="19"/>
      <c r="I63" s="19"/>
      <c r="J63" s="19"/>
      <c r="K63" s="19"/>
      <c r="L63" s="19"/>
    </row>
    <row r="64" spans="1:17" ht="16" x14ac:dyDescent="0.2">
      <c r="C64" s="20" t="s">
        <v>98</v>
      </c>
      <c r="D64" s="20" t="s">
        <v>49</v>
      </c>
      <c r="E64" s="20" t="s">
        <v>99</v>
      </c>
      <c r="F64" s="20" t="s">
        <v>100</v>
      </c>
      <c r="G64" s="20" t="s">
        <v>101</v>
      </c>
      <c r="H64" s="20" t="s">
        <v>102</v>
      </c>
      <c r="I64" s="20" t="s">
        <v>103</v>
      </c>
      <c r="J64" s="20" t="s">
        <v>104</v>
      </c>
      <c r="K64" s="20" t="s">
        <v>105</v>
      </c>
      <c r="L64" s="41">
        <v>0.55700000000000005</v>
      </c>
      <c r="M64" s="20" t="s">
        <v>125</v>
      </c>
    </row>
    <row r="65" spans="1:17" ht="16" x14ac:dyDescent="0.2">
      <c r="C65" s="20" t="s">
        <v>106</v>
      </c>
      <c r="D65" s="20" t="s">
        <v>107</v>
      </c>
      <c r="E65" s="20" t="s">
        <v>108</v>
      </c>
      <c r="F65" s="20" t="s">
        <v>109</v>
      </c>
      <c r="G65" s="20" t="s">
        <v>110</v>
      </c>
      <c r="H65" s="20" t="s">
        <v>111</v>
      </c>
      <c r="I65" s="20" t="s">
        <v>111</v>
      </c>
      <c r="J65" s="20" t="s">
        <v>112</v>
      </c>
      <c r="K65" s="20" t="s">
        <v>113</v>
      </c>
      <c r="L65" s="41">
        <v>0.17199999999999999</v>
      </c>
      <c r="M65" s="20" t="s">
        <v>125</v>
      </c>
    </row>
    <row r="66" spans="1:17" ht="16" x14ac:dyDescent="0.2">
      <c r="C66" s="20" t="s">
        <v>114</v>
      </c>
      <c r="D66" s="20" t="s">
        <v>115</v>
      </c>
      <c r="E66" s="20" t="s">
        <v>116</v>
      </c>
      <c r="F66" s="20" t="s">
        <v>117</v>
      </c>
      <c r="G66" s="20" t="s">
        <v>118</v>
      </c>
      <c r="H66" s="20" t="s">
        <v>119</v>
      </c>
      <c r="I66" s="20" t="s">
        <v>120</v>
      </c>
      <c r="J66" s="20" t="s">
        <v>121</v>
      </c>
      <c r="K66" s="20" t="s">
        <v>122</v>
      </c>
      <c r="L66" s="40">
        <v>1.6910000000000001</v>
      </c>
      <c r="M66" s="20" t="s">
        <v>125</v>
      </c>
    </row>
    <row r="68" spans="1:17" x14ac:dyDescent="0.2">
      <c r="C68" s="20" t="s">
        <v>129</v>
      </c>
    </row>
    <row r="72" spans="1:17" x14ac:dyDescent="0.2">
      <c r="A72" s="1" t="s">
        <v>124</v>
      </c>
    </row>
    <row r="74" spans="1:17" x14ac:dyDescent="0.2">
      <c r="C74" t="s">
        <v>126</v>
      </c>
    </row>
    <row r="76" spans="1:17" x14ac:dyDescent="0.2">
      <c r="F76">
        <v>0.01</v>
      </c>
    </row>
    <row r="77" spans="1:17" x14ac:dyDescent="0.2">
      <c r="D77">
        <v>2009</v>
      </c>
      <c r="E77">
        <v>2010</v>
      </c>
      <c r="F77">
        <v>2011</v>
      </c>
      <c r="G77">
        <v>2012</v>
      </c>
      <c r="H77">
        <v>2013</v>
      </c>
      <c r="I77">
        <v>2014</v>
      </c>
      <c r="J77">
        <v>2015</v>
      </c>
      <c r="K77">
        <v>2016</v>
      </c>
      <c r="L77">
        <v>2017</v>
      </c>
      <c r="M77">
        <v>2018</v>
      </c>
    </row>
    <row r="78" spans="1:17" x14ac:dyDescent="0.2">
      <c r="C78" t="s">
        <v>128</v>
      </c>
      <c r="D78">
        <v>3.0110000000000001E-2</v>
      </c>
      <c r="E78">
        <v>3.3160000000000002E-2</v>
      </c>
      <c r="F78">
        <v>3.7480000000000006E-2</v>
      </c>
      <c r="G78">
        <v>3.9469999999999998E-2</v>
      </c>
      <c r="H78">
        <v>4.0510000000000004E-2</v>
      </c>
      <c r="I78">
        <v>4.0540000000000007E-2</v>
      </c>
      <c r="J78">
        <v>3.9670000000000004E-2</v>
      </c>
      <c r="K78">
        <v>3.9890000000000002E-2</v>
      </c>
      <c r="L78" s="63">
        <v>4.0210000000000003E-2</v>
      </c>
      <c r="M78" s="32">
        <v>4.2299999999999997E-2</v>
      </c>
      <c r="Q78" s="6" t="s">
        <v>130</v>
      </c>
    </row>
    <row r="79" spans="1:17" x14ac:dyDescent="0.2">
      <c r="C79" t="s">
        <v>127</v>
      </c>
      <c r="M79" s="39">
        <v>0.28486</v>
      </c>
      <c r="Q79" t="s">
        <v>224</v>
      </c>
    </row>
    <row r="80" spans="1:17" x14ac:dyDescent="0.2">
      <c r="C80" t="s">
        <v>131</v>
      </c>
      <c r="K80">
        <v>97.8</v>
      </c>
      <c r="L80">
        <v>1</v>
      </c>
      <c r="M80">
        <v>104.9</v>
      </c>
    </row>
    <row r="81" spans="2:20" x14ac:dyDescent="0.2">
      <c r="C81" t="s">
        <v>132</v>
      </c>
      <c r="M81" s="18">
        <f>M79/K80*M80</f>
        <v>0.30554002044989775</v>
      </c>
      <c r="N81" t="s">
        <v>133</v>
      </c>
    </row>
    <row r="82" spans="2:20" x14ac:dyDescent="0.2">
      <c r="K82" s="18"/>
      <c r="N82" t="s">
        <v>134</v>
      </c>
    </row>
    <row r="85" spans="2:20" x14ac:dyDescent="0.2">
      <c r="B85" t="s">
        <v>157</v>
      </c>
    </row>
    <row r="86" spans="2:20" x14ac:dyDescent="0.2">
      <c r="C86" t="s">
        <v>156</v>
      </c>
    </row>
    <row r="87" spans="2:20" x14ac:dyDescent="0.2">
      <c r="C87" s="29"/>
      <c r="D87" s="29">
        <v>2010</v>
      </c>
      <c r="E87" s="29">
        <v>2011</v>
      </c>
      <c r="F87" s="29">
        <v>2012</v>
      </c>
      <c r="G87" s="29">
        <v>2013</v>
      </c>
      <c r="H87" s="29">
        <v>2014</v>
      </c>
      <c r="I87" s="29">
        <v>2015</v>
      </c>
      <c r="J87" s="29">
        <v>2016</v>
      </c>
      <c r="K87" s="29">
        <v>2017</v>
      </c>
      <c r="L87" s="29"/>
    </row>
    <row r="88" spans="2:20" ht="32" x14ac:dyDescent="0.2">
      <c r="C88" s="29" t="s">
        <v>158</v>
      </c>
      <c r="D88" s="30">
        <v>1691004</v>
      </c>
      <c r="E88" s="30">
        <v>1729256</v>
      </c>
      <c r="F88" s="30">
        <v>1712567</v>
      </c>
      <c r="G88" s="30">
        <v>1740687</v>
      </c>
      <c r="H88" s="30">
        <v>1851229</v>
      </c>
      <c r="I88" s="30">
        <v>1738283</v>
      </c>
      <c r="J88" s="30">
        <v>1585440</v>
      </c>
      <c r="K88" s="30">
        <v>1674784</v>
      </c>
      <c r="L88" s="30"/>
    </row>
    <row r="89" spans="2:20" ht="16" x14ac:dyDescent="0.2">
      <c r="C89" s="29" t="s">
        <v>159</v>
      </c>
      <c r="D89" s="30">
        <v>35541</v>
      </c>
      <c r="E89" s="30">
        <v>36649</v>
      </c>
      <c r="F89" s="30">
        <v>36525</v>
      </c>
      <c r="G89" s="30">
        <v>35253</v>
      </c>
      <c r="H89" s="30">
        <v>37193</v>
      </c>
      <c r="I89" s="30">
        <v>35853</v>
      </c>
      <c r="J89" s="30">
        <v>32572</v>
      </c>
      <c r="K89" s="30">
        <v>34065</v>
      </c>
      <c r="L89" s="30"/>
    </row>
    <row r="90" spans="2:20" ht="16" x14ac:dyDescent="0.2">
      <c r="C90" s="29" t="s">
        <v>160</v>
      </c>
      <c r="D90" s="29">
        <v>63.4</v>
      </c>
      <c r="E90" s="29">
        <v>62.9</v>
      </c>
      <c r="F90" s="29">
        <v>62</v>
      </c>
      <c r="G90" s="29">
        <v>61</v>
      </c>
      <c r="H90" s="29">
        <v>60.9</v>
      </c>
      <c r="I90" s="29">
        <v>58.4</v>
      </c>
      <c r="J90" s="29">
        <v>56.2</v>
      </c>
      <c r="K90" s="29">
        <v>56.6</v>
      </c>
      <c r="L90" s="29"/>
    </row>
    <row r="91" spans="2:20" ht="32" x14ac:dyDescent="0.2">
      <c r="C91" s="29" t="s">
        <v>161</v>
      </c>
      <c r="D91" s="30">
        <v>3494</v>
      </c>
      <c r="E91" s="30">
        <v>3685</v>
      </c>
      <c r="F91" s="30">
        <v>3600</v>
      </c>
      <c r="G91" s="30">
        <v>3682</v>
      </c>
      <c r="H91" s="30">
        <v>3867</v>
      </c>
      <c r="I91" s="30">
        <v>3692</v>
      </c>
      <c r="J91" s="30">
        <v>3385</v>
      </c>
      <c r="K91" s="30">
        <v>3495</v>
      </c>
      <c r="L91" s="30"/>
    </row>
    <row r="92" spans="2:20" ht="48" x14ac:dyDescent="0.2">
      <c r="C92" s="29" t="s">
        <v>162</v>
      </c>
      <c r="D92" s="29">
        <v>287</v>
      </c>
      <c r="E92" s="29">
        <v>296</v>
      </c>
      <c r="F92" s="29">
        <v>292</v>
      </c>
      <c r="G92" s="29">
        <v>293</v>
      </c>
      <c r="H92" s="29">
        <v>290</v>
      </c>
      <c r="I92" s="29">
        <v>295</v>
      </c>
      <c r="J92" s="29">
        <v>296</v>
      </c>
      <c r="K92" s="29">
        <v>289</v>
      </c>
      <c r="L92" s="29"/>
    </row>
    <row r="93" spans="2:20" ht="32" x14ac:dyDescent="0.2">
      <c r="C93" s="29" t="s">
        <v>163</v>
      </c>
      <c r="D93" s="30">
        <v>13635</v>
      </c>
      <c r="E93" s="30">
        <v>13946</v>
      </c>
      <c r="F93" s="30">
        <v>13671</v>
      </c>
      <c r="G93" s="30">
        <v>14487</v>
      </c>
      <c r="H93" s="30">
        <v>14421</v>
      </c>
      <c r="I93" s="30">
        <v>14283</v>
      </c>
      <c r="J93" s="30">
        <v>14414</v>
      </c>
      <c r="K93" s="30">
        <v>14230</v>
      </c>
      <c r="L93" s="30"/>
    </row>
    <row r="94" spans="2:20" ht="32" x14ac:dyDescent="0.2">
      <c r="C94" s="29" t="s">
        <v>164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2:20" x14ac:dyDescent="0.2"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2:20" ht="96" x14ac:dyDescent="0.2">
      <c r="C96" s="29" t="s">
        <v>165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3:20" x14ac:dyDescent="0.2"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3:20" ht="16" x14ac:dyDescent="0.2">
      <c r="C98" s="29" t="s">
        <v>166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</sheetData>
  <hyperlinks>
    <hyperlink ref="Q54" r:id="rId1" xr:uid="{CA860019-D7D1-4590-9F51-74B4BF89C659}"/>
    <hyperlink ref="Q78" r:id="rId2" xr:uid="{63EBEAFF-6620-4158-A712-7217689E9C7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4450-AEDF-4B7E-8755-FF24BFC5134F}">
  <dimension ref="A1:L42"/>
  <sheetViews>
    <sheetView workbookViewId="0">
      <selection activeCell="A2" sqref="A2"/>
    </sheetView>
  </sheetViews>
  <sheetFormatPr baseColWidth="10" defaultColWidth="8.83203125" defaultRowHeight="15" x14ac:dyDescent="0.2"/>
  <cols>
    <col min="2" max="2" width="30.6640625" customWidth="1"/>
  </cols>
  <sheetData>
    <row r="1" spans="1:4" x14ac:dyDescent="0.2">
      <c r="A1" s="64" t="s">
        <v>421</v>
      </c>
    </row>
    <row r="2" spans="1:4" ht="31" x14ac:dyDescent="0.35">
      <c r="A2" s="80" t="s">
        <v>422</v>
      </c>
    </row>
    <row r="3" spans="1:4" x14ac:dyDescent="0.2">
      <c r="A3" s="1" t="s">
        <v>0</v>
      </c>
      <c r="B3" s="2" t="s">
        <v>329</v>
      </c>
    </row>
    <row r="4" spans="1:4" x14ac:dyDescent="0.2">
      <c r="A4" s="1" t="s">
        <v>1</v>
      </c>
      <c r="B4" t="s">
        <v>330</v>
      </c>
    </row>
    <row r="10" spans="1:4" x14ac:dyDescent="0.2">
      <c r="A10" s="1" t="s">
        <v>3</v>
      </c>
    </row>
    <row r="11" spans="1:4" x14ac:dyDescent="0.2">
      <c r="B11" t="s">
        <v>170</v>
      </c>
      <c r="C11" s="7">
        <v>640</v>
      </c>
      <c r="D11" t="s">
        <v>169</v>
      </c>
    </row>
    <row r="12" spans="1:4" x14ac:dyDescent="0.2">
      <c r="B12" t="s">
        <v>331</v>
      </c>
      <c r="C12" t="s">
        <v>332</v>
      </c>
    </row>
    <row r="15" spans="1:4" x14ac:dyDescent="0.2">
      <c r="A15" s="1" t="s">
        <v>346</v>
      </c>
    </row>
    <row r="16" spans="1:4" x14ac:dyDescent="0.2">
      <c r="B16" t="s">
        <v>402</v>
      </c>
      <c r="C16">
        <v>1500</v>
      </c>
    </row>
    <row r="17" spans="2:12" x14ac:dyDescent="0.2">
      <c r="B17" t="s">
        <v>333</v>
      </c>
    </row>
    <row r="18" spans="2:12" x14ac:dyDescent="0.2">
      <c r="B18" t="s">
        <v>334</v>
      </c>
      <c r="C18">
        <f>ROUND(1000/1400*C16,0)</f>
        <v>1071</v>
      </c>
      <c r="D18" t="s">
        <v>335</v>
      </c>
    </row>
    <row r="19" spans="2:12" x14ac:dyDescent="0.2">
      <c r="B19" t="s">
        <v>336</v>
      </c>
      <c r="C19">
        <v>9</v>
      </c>
      <c r="D19" t="s">
        <v>338</v>
      </c>
    </row>
    <row r="20" spans="2:12" x14ac:dyDescent="0.2">
      <c r="B20" t="s">
        <v>337</v>
      </c>
      <c r="C20">
        <v>10</v>
      </c>
      <c r="D20" t="s">
        <v>339</v>
      </c>
    </row>
    <row r="21" spans="2:12" x14ac:dyDescent="0.2">
      <c r="B21" t="s">
        <v>340</v>
      </c>
      <c r="C21">
        <f>C20*C19</f>
        <v>90</v>
      </c>
      <c r="D21" t="s">
        <v>341</v>
      </c>
    </row>
    <row r="22" spans="2:12" x14ac:dyDescent="0.2">
      <c r="B22" t="s">
        <v>342</v>
      </c>
      <c r="C22">
        <f>C18*C21</f>
        <v>96390</v>
      </c>
      <c r="D22" t="s">
        <v>343</v>
      </c>
    </row>
    <row r="23" spans="2:12" x14ac:dyDescent="0.2">
      <c r="B23" t="s">
        <v>344</v>
      </c>
      <c r="C23">
        <f>C11*C21</f>
        <v>57600</v>
      </c>
      <c r="D23" t="s">
        <v>345</v>
      </c>
    </row>
    <row r="24" spans="2:12" x14ac:dyDescent="0.2">
      <c r="B24" s="1" t="s">
        <v>409</v>
      </c>
      <c r="C24" s="1">
        <f>C22-C23</f>
        <v>38790</v>
      </c>
      <c r="D24" s="1" t="s">
        <v>345</v>
      </c>
    </row>
    <row r="25" spans="2:12" x14ac:dyDescent="0.2">
      <c r="B25" t="s">
        <v>351</v>
      </c>
      <c r="C25">
        <f>0*C24*365</f>
        <v>0</v>
      </c>
      <c r="D25" t="s">
        <v>352</v>
      </c>
    </row>
    <row r="28" spans="2:12" x14ac:dyDescent="0.2">
      <c r="B28" t="s">
        <v>348</v>
      </c>
    </row>
    <row r="29" spans="2:12" x14ac:dyDescent="0.2">
      <c r="B29" t="s">
        <v>256</v>
      </c>
      <c r="C29">
        <v>0.4</v>
      </c>
      <c r="D29" t="s">
        <v>347</v>
      </c>
      <c r="L29" s="6" t="s">
        <v>350</v>
      </c>
    </row>
    <row r="30" spans="2:12" x14ac:dyDescent="0.2">
      <c r="B30" t="s">
        <v>259</v>
      </c>
      <c r="C30" s="63">
        <v>7.3814388091725889E-3</v>
      </c>
      <c r="D30" t="s">
        <v>347</v>
      </c>
      <c r="L30" s="6" t="s">
        <v>350</v>
      </c>
    </row>
    <row r="31" spans="2:12" x14ac:dyDescent="0.2">
      <c r="B31" t="s">
        <v>349</v>
      </c>
      <c r="C31">
        <v>0.19</v>
      </c>
      <c r="D31" s="63" t="s">
        <v>347</v>
      </c>
      <c r="L31" s="6" t="s">
        <v>350</v>
      </c>
    </row>
    <row r="32" spans="2:12" x14ac:dyDescent="0.2">
      <c r="B32" t="s">
        <v>258</v>
      </c>
      <c r="C32">
        <v>0.02</v>
      </c>
      <c r="D32" s="63" t="s">
        <v>347</v>
      </c>
      <c r="L32" s="6" t="s">
        <v>350</v>
      </c>
    </row>
    <row r="33" spans="2:4" x14ac:dyDescent="0.2">
      <c r="B33" t="s">
        <v>353</v>
      </c>
    </row>
    <row r="34" spans="2:4" x14ac:dyDescent="0.2">
      <c r="B34" t="str">
        <f>B29</f>
        <v xml:space="preserve">   NOx</v>
      </c>
      <c r="C34">
        <f>C29*C$25</f>
        <v>0</v>
      </c>
      <c r="D34" s="63" t="s">
        <v>177</v>
      </c>
    </row>
    <row r="35" spans="2:4" x14ac:dyDescent="0.2">
      <c r="B35" s="63" t="str">
        <f>B30</f>
        <v xml:space="preserve">   SO2</v>
      </c>
      <c r="C35" s="63">
        <f>C30*C$25</f>
        <v>0</v>
      </c>
      <c r="D35" s="63" t="s">
        <v>177</v>
      </c>
    </row>
    <row r="36" spans="2:4" x14ac:dyDescent="0.2">
      <c r="B36" s="63" t="str">
        <f>B31</f>
        <v xml:space="preserve">   VOC</v>
      </c>
      <c r="C36" s="63">
        <f>C31*C$25</f>
        <v>0</v>
      </c>
      <c r="D36" s="63" t="s">
        <v>177</v>
      </c>
    </row>
    <row r="37" spans="2:4" x14ac:dyDescent="0.2">
      <c r="B37" s="63" t="str">
        <f>B32</f>
        <v xml:space="preserve">   PM2.5</v>
      </c>
      <c r="C37" s="63">
        <f>C32*C$25</f>
        <v>0</v>
      </c>
      <c r="D37" s="63" t="s">
        <v>177</v>
      </c>
    </row>
    <row r="38" spans="2:4" x14ac:dyDescent="0.2">
      <c r="B38" t="s">
        <v>354</v>
      </c>
    </row>
    <row r="39" spans="2:4" x14ac:dyDescent="0.2">
      <c r="B39" t="str">
        <f>B34</f>
        <v xml:space="preserve">   NOx</v>
      </c>
      <c r="C39">
        <f>C34/PARAMS!$C$64</f>
        <v>0</v>
      </c>
      <c r="D39" t="s">
        <v>355</v>
      </c>
    </row>
    <row r="40" spans="2:4" x14ac:dyDescent="0.2">
      <c r="B40" s="63" t="str">
        <f>B35</f>
        <v xml:space="preserve">   SO2</v>
      </c>
      <c r="C40" s="63">
        <f>C35/PARAMS!$C$64</f>
        <v>0</v>
      </c>
      <c r="D40" s="63" t="s">
        <v>355</v>
      </c>
    </row>
    <row r="41" spans="2:4" x14ac:dyDescent="0.2">
      <c r="B41" s="63" t="str">
        <f>B36</f>
        <v xml:space="preserve">   VOC</v>
      </c>
      <c r="C41" s="63">
        <f>C36/PARAMS!$C$64</f>
        <v>0</v>
      </c>
      <c r="D41" s="63" t="s">
        <v>355</v>
      </c>
    </row>
    <row r="42" spans="2:4" x14ac:dyDescent="0.2">
      <c r="B42" s="63" t="str">
        <f>B37</f>
        <v xml:space="preserve">   PM2.5</v>
      </c>
      <c r="C42" s="63">
        <f>C37/PARAMS!$C$64</f>
        <v>0</v>
      </c>
      <c r="D42" s="63" t="s">
        <v>355</v>
      </c>
    </row>
  </sheetData>
  <hyperlinks>
    <hyperlink ref="L29" r:id="rId1" xr:uid="{DE557D3F-EF69-426E-9B1E-1E46E6A8CE1F}"/>
    <hyperlink ref="L30" r:id="rId2" xr:uid="{0DCF4AFF-04E2-4464-A79E-181A7C65E31D}"/>
    <hyperlink ref="L31" r:id="rId3" xr:uid="{62D42C38-4FB6-45B0-B97E-92623C148E66}"/>
    <hyperlink ref="L32" r:id="rId4" xr:uid="{9609BAA3-2931-4126-86A5-4E8E0681B070}"/>
  </hyperlinks>
  <pageMargins left="0.7" right="0.7" top="0.75" bottom="0.75" header="0.3" footer="0.3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COVER</vt:lpstr>
      <vt:lpstr>0_MODEL_BenefitSummary</vt:lpstr>
      <vt:lpstr>Results Charts</vt:lpstr>
      <vt:lpstr>1_MODEL_assumptions</vt:lpstr>
      <vt:lpstr>2_MODEL_Costs</vt:lpstr>
      <vt:lpstr>3_MODEL_main</vt:lpstr>
      <vt:lpstr>PARAMS</vt:lpstr>
      <vt:lpstr>BKGRD</vt:lpstr>
      <vt:lpstr>UNUSED4_MODELsub_ElecReferRacks</vt:lpstr>
      <vt:lpstr>COVER!_Hlk19241157</vt:lpstr>
      <vt:lpstr>COVER!_Hlk19241223</vt:lpstr>
      <vt:lpstr>COVER!Print_Area</vt:lpstr>
      <vt:lpstr>railcostpermile</vt:lpstr>
      <vt:lpstr>railcostpertonmile</vt:lpstr>
      <vt:lpstr>railcostpertonmilenew</vt:lpstr>
      <vt:lpstr>truckcostpermile</vt:lpstr>
      <vt:lpstr>truckmpg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rseckard</dc:creator>
  <cp:lastModifiedBy>Janet COhen</cp:lastModifiedBy>
  <dcterms:created xsi:type="dcterms:W3CDTF">2015-06-05T18:17:20Z</dcterms:created>
  <dcterms:modified xsi:type="dcterms:W3CDTF">2020-05-16T18:43:29Z</dcterms:modified>
</cp:coreProperties>
</file>